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\общая для закупок\_4_ЗАКУПКИ\Закупки_2026\РПЗ_00184  Оказание услуг по оформлению подписки и поставке периодических печатных изданий на 2 полугодие 2026г\"/>
    </mc:Choice>
  </mc:AlternateContent>
  <xr:revisionPtr revIDLastSave="0" documentId="8_{02407088-FCB5-453B-85F9-591064C60E8B}" xr6:coauthVersionLast="47" xr6:coauthVersionMax="47" xr10:uidLastSave="{00000000-0000-0000-0000-000000000000}"/>
  <bookViews>
    <workbookView xWindow="-120" yWindow="-120" windowWidth="29040" windowHeight="15840" xr2:uid="{33D47BC5-2F63-4EA1-8758-EA082589D18C}"/>
  </bookViews>
  <sheets>
    <sheet name="НМЦ" sheetId="1" r:id="rId1"/>
  </sheets>
  <externalReferences>
    <externalReference r:id="rId2"/>
  </externalReferences>
  <definedNames>
    <definedName name="ДаНет">#N/A</definedName>
    <definedName name="_xlnm.Print_Area" localSheetId="0">НМЦ!$A$3:$N$51</definedName>
    <definedName name="ОКАТО_код">#N/A</definedName>
    <definedName name="ОКЕИ_код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1" l="1"/>
  <c r="B48" i="1"/>
  <c r="B47" i="1"/>
  <c r="L44" i="1"/>
  <c r="B44" i="1"/>
  <c r="H40" i="1"/>
  <c r="G40" i="1"/>
  <c r="F40" i="1"/>
  <c r="E40" i="1"/>
  <c r="K39" i="1"/>
  <c r="J39" i="1"/>
  <c r="K38" i="1"/>
  <c r="L38" i="1" s="1"/>
  <c r="M38" i="1" s="1"/>
  <c r="J38" i="1"/>
  <c r="K37" i="1"/>
  <c r="J37" i="1"/>
  <c r="K36" i="1"/>
  <c r="L36" i="1" s="1"/>
  <c r="M36" i="1" s="1"/>
  <c r="J36" i="1"/>
  <c r="K35" i="1"/>
  <c r="J35" i="1"/>
  <c r="K34" i="1"/>
  <c r="L34" i="1" s="1"/>
  <c r="M34" i="1" s="1"/>
  <c r="J34" i="1"/>
  <c r="K33" i="1"/>
  <c r="J33" i="1"/>
  <c r="K32" i="1"/>
  <c r="L32" i="1" s="1"/>
  <c r="M32" i="1" s="1"/>
  <c r="J32" i="1"/>
  <c r="K31" i="1"/>
  <c r="J31" i="1"/>
  <c r="L30" i="1"/>
  <c r="M30" i="1" s="1"/>
  <c r="N30" i="1" s="1"/>
  <c r="K30" i="1"/>
  <c r="J30" i="1"/>
  <c r="K29" i="1"/>
  <c r="L29" i="1" s="1"/>
  <c r="M29" i="1" s="1"/>
  <c r="N29" i="1" s="1"/>
  <c r="J29" i="1"/>
  <c r="K28" i="1"/>
  <c r="J28" i="1"/>
  <c r="L28" i="1" s="1"/>
  <c r="M28" i="1" s="1"/>
  <c r="N28" i="1" s="1"/>
  <c r="K27" i="1"/>
  <c r="L27" i="1" s="1"/>
  <c r="M27" i="1" s="1"/>
  <c r="N27" i="1" s="1"/>
  <c r="J27" i="1"/>
  <c r="K26" i="1"/>
  <c r="J26" i="1"/>
  <c r="K25" i="1"/>
  <c r="L25" i="1" s="1"/>
  <c r="M25" i="1" s="1"/>
  <c r="N25" i="1" s="1"/>
  <c r="J25" i="1"/>
  <c r="K24" i="1"/>
  <c r="J24" i="1"/>
  <c r="L24" i="1" s="1"/>
  <c r="M24" i="1" s="1"/>
  <c r="N24" i="1" s="1"/>
  <c r="L23" i="1"/>
  <c r="M23" i="1" s="1"/>
  <c r="N23" i="1" s="1"/>
  <c r="K23" i="1"/>
  <c r="J23" i="1"/>
  <c r="K22" i="1"/>
  <c r="J22" i="1"/>
  <c r="L22" i="1" s="1"/>
  <c r="M22" i="1" s="1"/>
  <c r="N22" i="1" s="1"/>
  <c r="K21" i="1"/>
  <c r="J21" i="1"/>
  <c r="K20" i="1"/>
  <c r="L20" i="1" s="1"/>
  <c r="M20" i="1" s="1"/>
  <c r="N20" i="1" s="1"/>
  <c r="J20" i="1"/>
  <c r="K19" i="1"/>
  <c r="J19" i="1"/>
  <c r="A19" i="1"/>
  <c r="A20" i="1" s="1"/>
  <c r="A21" i="1" s="1"/>
  <c r="A22" i="1" s="1"/>
  <c r="A23" i="1" s="1"/>
  <c r="A24" i="1" s="1"/>
  <c r="K18" i="1"/>
  <c r="L18" i="1" s="1"/>
  <c r="M18" i="1" s="1"/>
  <c r="N18" i="1" s="1"/>
  <c r="J18" i="1"/>
  <c r="E17" i="1"/>
  <c r="F17" i="1" s="1"/>
  <c r="G17" i="1" s="1"/>
  <c r="H17" i="1" s="1"/>
  <c r="J17" i="1" s="1"/>
  <c r="K17" i="1" s="1"/>
  <c r="L17" i="1" s="1"/>
  <c r="M17" i="1" s="1"/>
  <c r="N17" i="1" s="1"/>
  <c r="F12" i="1"/>
  <c r="F8" i="1"/>
  <c r="F7" i="1"/>
  <c r="L19" i="1" l="1"/>
  <c r="M19" i="1" s="1"/>
  <c r="N19" i="1" s="1"/>
  <c r="L21" i="1"/>
  <c r="M21" i="1" s="1"/>
  <c r="N21" i="1" s="1"/>
  <c r="L26" i="1"/>
  <c r="M26" i="1" s="1"/>
  <c r="N26" i="1" s="1"/>
  <c r="L31" i="1"/>
  <c r="M31" i="1" s="1"/>
  <c r="N31" i="1" s="1"/>
  <c r="N40" i="1" s="1"/>
  <c r="L33" i="1"/>
  <c r="M33" i="1" s="1"/>
  <c r="L35" i="1"/>
  <c r="M35" i="1" s="1"/>
  <c r="L37" i="1"/>
  <c r="M37" i="1" s="1"/>
  <c r="L39" i="1"/>
  <c r="M39" i="1" s="1"/>
  <c r="K40" i="1"/>
  <c r="J40" i="1"/>
</calcChain>
</file>

<file path=xl/sharedStrings.xml><?xml version="1.0" encoding="utf-8"?>
<sst xmlns="http://schemas.openxmlformats.org/spreadsheetml/2006/main" count="83" uniqueCount="60">
  <si>
    <t>Приложение Б</t>
  </si>
  <si>
    <t>форма 9</t>
  </si>
  <si>
    <t>ОБОСНОВАНИЕ</t>
  </si>
  <si>
    <t>по начальной максимальной цене договора (НМЦ)</t>
  </si>
  <si>
    <t xml:space="preserve">Наименование закупки (предмет договора): </t>
  </si>
  <si>
    <t>Оказание услуг по оформлению подписки и поставке периодических печатных изданий на 2 полугодие 2026 года</t>
  </si>
  <si>
    <t xml:space="preserve">Используемый метод определения НМЦ: </t>
  </si>
  <si>
    <t>Срок поставки (выполнения работ, оказания услуг):</t>
  </si>
  <si>
    <t>Информация о запросах ценовых предложений (коммерческих предложений):</t>
  </si>
  <si>
    <t>Исх. №А9-3113 от 14.04.2026 г. (по списку рассылки)</t>
  </si>
  <si>
    <t xml:space="preserve">Информация о ценовых предложениях, включая информацию из открытых источников: </t>
  </si>
  <si>
    <t>Вх. № 2312, 2330, 2332 от 21.04.2026 г.</t>
  </si>
  <si>
    <t>НМЦ/цена контракта (договора) устанавливается в размере:
(с обязательным указанием информации - с учетом или без НДС, включая все налоги, сборы и обязательные платежи)</t>
  </si>
  <si>
    <t>315 345 (Триста пятнадцать тысяч триста сорок пять) руб. 67 копеек, в том числе НДС</t>
  </si>
  <si>
    <t xml:space="preserve">Дата подготовки обоснования НМЦ: </t>
  </si>
  <si>
    <t>Расчет НМЦ</t>
  </si>
  <si>
    <t>№ п/п</t>
  </si>
  <si>
    <t>Наименование товара, работы, услуги</t>
  </si>
  <si>
    <t>Ед. изм.</t>
  </si>
  <si>
    <t>Кол-во</t>
  </si>
  <si>
    <t>Ценовые предложения, руб.</t>
  </si>
  <si>
    <t>Средняя цена, руб.</t>
  </si>
  <si>
    <t>Среднее квадратичное отклонение</t>
  </si>
  <si>
    <t>Коэффициент вариации</t>
  </si>
  <si>
    <t>Стоимость за 1 ед. товара принятая в расчет с учетом коэффициента вариации, руб. (с учетом налогов, сборов и других обязательных платежей)</t>
  </si>
  <si>
    <t>Стоимость, руб. 
(с учетом налогов, сборов и других обязательных платежей)</t>
  </si>
  <si>
    <t xml:space="preserve">№1* </t>
  </si>
  <si>
    <t xml:space="preserve">№2* </t>
  </si>
  <si>
    <t xml:space="preserve">№3* </t>
  </si>
  <si>
    <r>
      <t>договор №</t>
    </r>
    <r>
      <rPr>
        <b/>
        <sz val="12"/>
        <color rgb="FFFF0000"/>
        <rFont val="Times New Roman"/>
        <family val="1"/>
        <charset val="204"/>
      </rPr>
      <t>***</t>
    </r>
    <r>
      <rPr>
        <b/>
        <sz val="12"/>
        <color rgb="FF000000"/>
        <rFont val="Times New Roman"/>
        <family val="1"/>
        <charset val="204"/>
      </rPr>
      <t xml:space="preserve">от </t>
    </r>
    <r>
      <rPr>
        <b/>
        <sz val="12"/>
        <color rgb="FFFF0000"/>
        <rFont val="Times New Roman"/>
        <family val="1"/>
        <charset val="204"/>
      </rPr>
      <t xml:space="preserve"> г.</t>
    </r>
    <r>
      <rPr>
        <b/>
        <sz val="12"/>
        <color rgb="FF000000"/>
        <rFont val="Times New Roman"/>
        <family val="1"/>
        <charset val="204"/>
      </rPr>
      <t xml:space="preserve"> с учетом ИПЦ 2025-202</t>
    </r>
    <r>
      <rPr>
        <b/>
        <sz val="12"/>
        <color rgb="FFFF0000"/>
        <rFont val="Times New Roman"/>
        <family val="1"/>
        <charset val="204"/>
      </rPr>
      <t>6</t>
    </r>
    <r>
      <rPr>
        <b/>
        <sz val="12"/>
        <color rgb="FF000000"/>
        <rFont val="Times New Roman"/>
        <family val="1"/>
        <charset val="204"/>
      </rPr>
      <t xml:space="preserve"> (</t>
    </r>
    <r>
      <rPr>
        <b/>
        <sz val="12"/>
        <color rgb="FFFF0000"/>
        <rFont val="Times New Roman"/>
        <family val="1"/>
        <charset val="204"/>
      </rPr>
      <t>1,051</t>
    </r>
    <r>
      <rPr>
        <b/>
        <sz val="12"/>
        <color rgb="FF000000"/>
        <rFont val="Times New Roman"/>
        <family val="1"/>
        <charset val="204"/>
      </rPr>
      <t>) в соответствии с Методикой №357</t>
    </r>
  </si>
  <si>
    <t>договор № 814/а-25 от 02.12.2025 г. с учетом НМЦ 2025-2026 (1,051) в соответствии с Методикой №357</t>
  </si>
  <si>
    <t>Бийский рабочий</t>
  </si>
  <si>
    <t>комп.</t>
  </si>
  <si>
    <t>Взрывное дело</t>
  </si>
  <si>
    <t>Главный метролог</t>
  </si>
  <si>
    <t>Гражданская оборона</t>
  </si>
  <si>
    <t>Датчики и системы</t>
  </si>
  <si>
    <t>Дефектоскопия</t>
  </si>
  <si>
    <t>Журнал аналитической химии</t>
  </si>
  <si>
    <t>Журнал общей химии</t>
  </si>
  <si>
    <t>Известия РАН</t>
  </si>
  <si>
    <t>Каучук и резина</t>
  </si>
  <si>
    <t>На боевом посту</t>
  </si>
  <si>
    <t>Наука и жизнь</t>
  </si>
  <si>
    <t>Национальная оборона</t>
  </si>
  <si>
    <t>Охрана труда в вопросах и ответах</t>
  </si>
  <si>
    <t>Пластические массы</t>
  </si>
  <si>
    <t>Росгвардия сегодня</t>
  </si>
  <si>
    <t>Российская газета</t>
  </si>
  <si>
    <t>Тяжелое машиностроение</t>
  </si>
  <si>
    <t>Успехи химии</t>
  </si>
  <si>
    <t>Физика горения и взрыва</t>
  </si>
  <si>
    <t>Химическая физика</t>
  </si>
  <si>
    <t>Химия и жизнь</t>
  </si>
  <si>
    <t>Итого:</t>
  </si>
  <si>
    <t>X</t>
  </si>
  <si>
    <t>Х</t>
  </si>
  <si>
    <t>Даты сбора информации</t>
  </si>
  <si>
    <t xml:space="preserve">подпись________________ </t>
  </si>
  <si>
    <r>
      <rPr>
        <i/>
        <sz val="14"/>
        <color rgb="FF000000"/>
        <rFont val="Times New Roman"/>
        <family val="1"/>
        <charset val="204"/>
      </rPr>
      <t>Примечание</t>
    </r>
    <r>
      <rPr>
        <sz val="14"/>
        <color rgb="FF000000"/>
        <rFont val="Times New Roman"/>
        <family val="1"/>
        <charset val="204"/>
      </rPr>
      <t>: коэффициент вариации превышает 0,32 у двух КП, поэтому к расчету принимаем сумму наименьшего КП.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</si>
</sst>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\ _₽_-;\-* #,##0.00\ _₽_-;_-* &quot;-&quot;??\ _₽_-;_-@_-"/>
  </numFmts>
  <fonts count="1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i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Alignment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/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3" fillId="0" borderId="1" xfId="3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3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165" fontId="11" fillId="0" borderId="1" xfId="1" applyFont="1" applyFill="1" applyBorder="1" applyAlignment="1">
      <alignment vertical="center" wrapText="1"/>
    </xf>
    <xf numFmtId="0" fontId="8" fillId="0" borderId="0" xfId="0" applyFont="1"/>
    <xf numFmtId="0" fontId="3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8" fillId="2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/>
    <xf numFmtId="14" fontId="3" fillId="0" borderId="1" xfId="0" applyNumberFormat="1" applyFont="1" applyBorder="1" applyAlignment="1">
      <alignment wrapText="1"/>
    </xf>
    <xf numFmtId="0" fontId="3" fillId="0" borderId="0" xfId="0" applyFont="1" applyAlignment="1">
      <alignment horizontal="left" vertical="center" wrapText="1" indent="3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7" xfId="0" applyFont="1" applyBorder="1"/>
    <xf numFmtId="0" fontId="2" fillId="0" borderId="7" xfId="0" applyFont="1" applyBorder="1" applyAlignment="1">
      <alignment horizontal="right" vertical="center"/>
    </xf>
    <xf numFmtId="0" fontId="2" fillId="0" borderId="0" xfId="0" applyFont="1"/>
    <xf numFmtId="2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</cellXfs>
  <cellStyles count="4">
    <cellStyle name="Обычный" xfId="0" builtinId="0"/>
    <cellStyle name="Обычный 4" xfId="3" xr:uid="{93950B34-7C33-456D-970A-AA41C748854E}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4.05.26%20&#1048;&#1047;&#1052;%20&#1059;&#1044;%20&#1055;&#1086;&#1076;&#1087;&#1080;&#1089;&#1082;&#1072;%20&#1085;&#1072;%202%20&#1087;&#1086;&#1083;&#1091;&#1075;&#1086;&#1076;&#1080;&#1077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зменения"/>
      <sheetName val="Справочник"/>
      <sheetName val="Инструкция"/>
      <sheetName val="ГЭБ"/>
      <sheetName val="схема"/>
      <sheetName val="ПИ"/>
      <sheetName val="2026РПЗ"/>
      <sheetName val="ЗАКУПКА"/>
      <sheetName val="Кор_РПЗ"/>
      <sheetName val="Задание"/>
      <sheetName val="ТЗ"/>
      <sheetName val="Запрос КП"/>
      <sheetName val="Спец-я"/>
      <sheetName val="Обоснование"/>
      <sheetName val="НМЦ"/>
      <sheetName val="Решение НМЦ"/>
      <sheetName val="С-З_опл"/>
      <sheetName val="С-З_опл ЭДО"/>
      <sheetName val="С-З_для СС"/>
      <sheetName val="ДС"/>
      <sheetName val="п.6.6.2_ПоЗ"/>
      <sheetName val="п.19.22"/>
      <sheetName val="п.21.2.2"/>
      <sheetName val="ИГК"/>
      <sheetName val="РЕШЕНИЕ_ЕП"/>
      <sheetName val="РЕШЕНИЕ_ДС"/>
      <sheetName val="ИЗВЕЩЕНИЕ"/>
      <sheetName val="Контрагенты"/>
      <sheetName val="ОКПД2"/>
      <sheetName val="ОКПД2 (2)"/>
      <sheetName val="ОКВЭД2"/>
      <sheetName val="ОКЕИ"/>
      <sheetName val="ПП_1875_1"/>
      <sheetName val="ПП_1875_2"/>
      <sheetName val="ПП_1875_3"/>
      <sheetName val="ПП_878"/>
      <sheetName val="РП_744"/>
      <sheetName val="РП_2662"/>
      <sheetName val="ПеречДок"/>
      <sheetName val="Блок-схема"/>
      <sheetName val="Кор_ПоЗ"/>
      <sheetName val=" _"/>
      <sheetName val="Памят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B1" t="str">
            <v>23.04.2026 г.</v>
          </cell>
        </row>
        <row r="4">
          <cell r="C4" t="str">
            <v>Начальник УД</v>
          </cell>
          <cell r="D4" t="str">
            <v>С.А. Окорокова</v>
          </cell>
        </row>
        <row r="67">
          <cell r="C67" t="str">
            <v xml:space="preserve">метод сопоставимых рыночных цен (анализа рынка) </v>
          </cell>
        </row>
        <row r="68">
          <cell r="C68" t="str">
            <v>по Заявке с 01.07.2026 г. ежедневно</v>
          </cell>
        </row>
        <row r="77">
          <cell r="C77" t="str">
            <v>Начальник сектора Семенова Н.В.</v>
          </cell>
        </row>
        <row r="78">
          <cell r="C78" t="str">
            <v>60-56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">
          <cell r="A3" t="str">
            <v>220416632505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17970-4C99-4481-A20C-7F95DC33DB66}">
  <sheetPr>
    <tabColor rgb="FF00B050"/>
    <pageSetUpPr fitToPage="1"/>
  </sheetPr>
  <dimension ref="A1:N56"/>
  <sheetViews>
    <sheetView tabSelected="1" view="pageBreakPreview" topLeftCell="A3" zoomScale="70" zoomScaleNormal="100" zoomScaleSheetLayoutView="70" workbookViewId="0">
      <selection activeCell="V47" sqref="V47"/>
    </sheetView>
  </sheetViews>
  <sheetFormatPr defaultColWidth="9.140625" defaultRowHeight="15.75" outlineLevelRow="1" outlineLevelCol="1" x14ac:dyDescent="0.25"/>
  <cols>
    <col min="1" max="1" width="5.7109375" style="2" customWidth="1"/>
    <col min="2" max="2" width="22.7109375" style="2" customWidth="1"/>
    <col min="3" max="3" width="9.28515625" style="2" customWidth="1"/>
    <col min="4" max="4" width="8.5703125" style="2" customWidth="1"/>
    <col min="5" max="5" width="12.85546875" style="2" customWidth="1"/>
    <col min="6" max="7" width="12.140625" style="2" customWidth="1"/>
    <col min="8" max="8" width="17.5703125" style="2" hidden="1" customWidth="1" outlineLevel="1"/>
    <col min="9" max="9" width="17.5703125" style="2" customWidth="1" outlineLevel="1"/>
    <col min="10" max="10" width="15.5703125" style="2" customWidth="1"/>
    <col min="11" max="11" width="12.85546875" style="2" customWidth="1"/>
    <col min="12" max="12" width="12.7109375" style="2" customWidth="1"/>
    <col min="13" max="13" width="18.5703125" style="2" customWidth="1"/>
    <col min="14" max="14" width="16.5703125" style="2" customWidth="1"/>
    <col min="15" max="1010" width="8.7109375" style="2" customWidth="1"/>
    <col min="1011" max="16384" width="9.140625" style="2"/>
  </cols>
  <sheetData>
    <row r="1" spans="1:14" ht="18.75" hidden="1" outlineLevel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.75" hidden="1" outlineLevel="1" x14ac:dyDescent="0.3">
      <c r="C2" s="3"/>
      <c r="D2" s="3"/>
      <c r="N2" s="4" t="s">
        <v>1</v>
      </c>
    </row>
    <row r="3" spans="1:14" ht="18.75" collapsed="1" x14ac:dyDescent="0.2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8.75" x14ac:dyDescent="0.25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5.75" customHeight="1" x14ac:dyDescent="0.25">
      <c r="A5" s="8"/>
    </row>
    <row r="6" spans="1:14" ht="38.25" customHeight="1" x14ac:dyDescent="0.25">
      <c r="A6" s="9" t="s">
        <v>4</v>
      </c>
      <c r="B6" s="9"/>
      <c r="C6" s="9"/>
      <c r="D6" s="9"/>
      <c r="E6" s="9"/>
      <c r="F6" s="9" t="s">
        <v>5</v>
      </c>
      <c r="G6" s="9"/>
      <c r="H6" s="9"/>
      <c r="I6" s="9"/>
      <c r="J6" s="9"/>
      <c r="K6" s="9"/>
      <c r="L6" s="9"/>
      <c r="M6" s="9"/>
      <c r="N6" s="9"/>
    </row>
    <row r="7" spans="1:14" ht="26.25" customHeight="1" x14ac:dyDescent="0.25">
      <c r="A7" s="9" t="s">
        <v>6</v>
      </c>
      <c r="B7" s="9"/>
      <c r="C7" s="9"/>
      <c r="D7" s="9"/>
      <c r="E7" s="9"/>
      <c r="F7" s="9" t="str">
        <f>[1]ЗАКУПКА!C67</f>
        <v xml:space="preserve">метод сопоставимых рыночных цен (анализа рынка) </v>
      </c>
      <c r="G7" s="9"/>
      <c r="H7" s="9"/>
      <c r="I7" s="9"/>
      <c r="J7" s="9"/>
      <c r="K7" s="9"/>
      <c r="L7" s="9"/>
      <c r="M7" s="9"/>
      <c r="N7" s="9"/>
    </row>
    <row r="8" spans="1:14" ht="36.6" customHeight="1" x14ac:dyDescent="0.25">
      <c r="A8" s="9" t="s">
        <v>7</v>
      </c>
      <c r="B8" s="9"/>
      <c r="C8" s="9"/>
      <c r="D8" s="9"/>
      <c r="E8" s="9"/>
      <c r="F8" s="9" t="str">
        <f>[1]ЗАКУПКА!C68</f>
        <v>по Заявке с 01.07.2026 г. ежедневно</v>
      </c>
      <c r="G8" s="9"/>
      <c r="H8" s="9"/>
      <c r="I8" s="9"/>
      <c r="J8" s="9"/>
      <c r="K8" s="9"/>
      <c r="L8" s="9"/>
      <c r="M8" s="9"/>
      <c r="N8" s="9"/>
    </row>
    <row r="9" spans="1:14" ht="40.5" customHeight="1" x14ac:dyDescent="0.25">
      <c r="A9" s="9" t="s">
        <v>8</v>
      </c>
      <c r="B9" s="9"/>
      <c r="C9" s="9"/>
      <c r="D9" s="9"/>
      <c r="E9" s="9"/>
      <c r="F9" s="10" t="s">
        <v>9</v>
      </c>
      <c r="G9" s="10"/>
      <c r="H9" s="10"/>
      <c r="I9" s="10"/>
      <c r="J9" s="10"/>
      <c r="K9" s="10"/>
      <c r="L9" s="10"/>
      <c r="M9" s="10"/>
      <c r="N9" s="10"/>
    </row>
    <row r="10" spans="1:14" ht="40.5" customHeight="1" x14ac:dyDescent="0.25">
      <c r="A10" s="9" t="s">
        <v>10</v>
      </c>
      <c r="B10" s="9"/>
      <c r="C10" s="9"/>
      <c r="D10" s="9"/>
      <c r="E10" s="9"/>
      <c r="F10" s="10" t="s">
        <v>11</v>
      </c>
      <c r="G10" s="10"/>
      <c r="H10" s="10"/>
      <c r="I10" s="10"/>
      <c r="J10" s="10"/>
      <c r="K10" s="10"/>
      <c r="L10" s="10"/>
      <c r="M10" s="10"/>
      <c r="N10" s="10"/>
    </row>
    <row r="11" spans="1:14" ht="93.75" customHeight="1" x14ac:dyDescent="0.25">
      <c r="A11" s="9" t="s">
        <v>12</v>
      </c>
      <c r="B11" s="9"/>
      <c r="C11" s="9"/>
      <c r="D11" s="9"/>
      <c r="E11" s="9"/>
      <c r="F11" s="10" t="s">
        <v>13</v>
      </c>
      <c r="G11" s="10"/>
      <c r="H11" s="10"/>
      <c r="I11" s="10"/>
      <c r="J11" s="10"/>
      <c r="K11" s="10"/>
      <c r="L11" s="10"/>
      <c r="M11" s="10"/>
      <c r="N11" s="10"/>
    </row>
    <row r="12" spans="1:14" ht="21" customHeight="1" x14ac:dyDescent="0.25">
      <c r="A12" s="9" t="s">
        <v>14</v>
      </c>
      <c r="B12" s="9"/>
      <c r="C12" s="9"/>
      <c r="D12" s="9"/>
      <c r="E12" s="9"/>
      <c r="F12" s="11" t="str">
        <f>[1]ЗАКУПКА!B1</f>
        <v>23.04.2026 г.</v>
      </c>
      <c r="G12" s="11"/>
      <c r="H12" s="11"/>
      <c r="I12" s="11"/>
      <c r="J12" s="11"/>
      <c r="K12" s="11"/>
      <c r="L12" s="11"/>
      <c r="M12" s="11"/>
      <c r="N12" s="11"/>
    </row>
    <row r="13" spans="1:14" ht="15" customHeight="1" x14ac:dyDescent="0.25">
      <c r="A13" s="12" t="s">
        <v>15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5" spans="1:14" s="19" customFormat="1" ht="30.75" customHeight="1" x14ac:dyDescent="0.25">
      <c r="A15" s="13" t="s">
        <v>16</v>
      </c>
      <c r="B15" s="13" t="s">
        <v>17</v>
      </c>
      <c r="C15" s="13" t="s">
        <v>18</v>
      </c>
      <c r="D15" s="13" t="s">
        <v>19</v>
      </c>
      <c r="E15" s="14" t="s">
        <v>20</v>
      </c>
      <c r="F15" s="15"/>
      <c r="G15" s="15"/>
      <c r="H15" s="16"/>
      <c r="I15" s="17"/>
      <c r="J15" s="13" t="s">
        <v>21</v>
      </c>
      <c r="K15" s="13" t="s">
        <v>22</v>
      </c>
      <c r="L15" s="13" t="s">
        <v>23</v>
      </c>
      <c r="M15" s="18" t="s">
        <v>24</v>
      </c>
      <c r="N15" s="13" t="s">
        <v>25</v>
      </c>
    </row>
    <row r="16" spans="1:14" s="19" customFormat="1" ht="145.5" customHeight="1" x14ac:dyDescent="0.25">
      <c r="A16" s="20"/>
      <c r="B16" s="20"/>
      <c r="C16" s="20"/>
      <c r="D16" s="20"/>
      <c r="E16" s="6" t="s">
        <v>26</v>
      </c>
      <c r="F16" s="6" t="s">
        <v>27</v>
      </c>
      <c r="G16" s="6" t="s">
        <v>28</v>
      </c>
      <c r="H16" s="21" t="s">
        <v>29</v>
      </c>
      <c r="I16" s="21" t="s">
        <v>30</v>
      </c>
      <c r="J16" s="20"/>
      <c r="K16" s="20"/>
      <c r="L16" s="20"/>
      <c r="M16" s="22"/>
      <c r="N16" s="20"/>
    </row>
    <row r="17" spans="1:14" ht="14.25" customHeight="1" x14ac:dyDescent="0.25">
      <c r="A17" s="23">
        <v>1</v>
      </c>
      <c r="B17" s="23">
        <v>2</v>
      </c>
      <c r="C17" s="23">
        <v>3</v>
      </c>
      <c r="D17" s="23">
        <v>4</v>
      </c>
      <c r="E17" s="23">
        <f>D17+1</f>
        <v>5</v>
      </c>
      <c r="F17" s="23">
        <f t="shared" ref="F17:N17" si="0">E17+1</f>
        <v>6</v>
      </c>
      <c r="G17" s="23">
        <f t="shared" si="0"/>
        <v>7</v>
      </c>
      <c r="H17" s="23">
        <f t="shared" si="0"/>
        <v>8</v>
      </c>
      <c r="I17" s="23">
        <v>8</v>
      </c>
      <c r="J17" s="23">
        <f>H17+1</f>
        <v>9</v>
      </c>
      <c r="K17" s="23">
        <f t="shared" si="0"/>
        <v>10</v>
      </c>
      <c r="L17" s="23">
        <f t="shared" si="0"/>
        <v>11</v>
      </c>
      <c r="M17" s="23">
        <f t="shared" si="0"/>
        <v>12</v>
      </c>
      <c r="N17" s="23">
        <f t="shared" si="0"/>
        <v>13</v>
      </c>
    </row>
    <row r="18" spans="1:14" x14ac:dyDescent="0.25">
      <c r="A18" s="23">
        <v>1</v>
      </c>
      <c r="B18" s="23" t="s">
        <v>31</v>
      </c>
      <c r="C18" s="23" t="s">
        <v>32</v>
      </c>
      <c r="D18" s="24">
        <v>1</v>
      </c>
      <c r="E18" s="25">
        <v>1944.18</v>
      </c>
      <c r="F18" s="25">
        <v>3571.02</v>
      </c>
      <c r="G18" s="25"/>
      <c r="H18" s="26"/>
      <c r="I18" s="25">
        <v>1867.5</v>
      </c>
      <c r="J18" s="25">
        <f>IFERROR(ROUND(AVERAGEIF(E18:G18,"&gt;0"),2),"")</f>
        <v>2757.6</v>
      </c>
      <c r="K18" s="27">
        <f>IFERROR(_xlfn.STDEV.P($E18:$G18),"")</f>
        <v>813.42000000000007</v>
      </c>
      <c r="L18" s="27">
        <f>IFERROR(K18/J18,"")</f>
        <v>0.29497389033942562</v>
      </c>
      <c r="M18" s="27">
        <f>IF(L18&lt;0.06,J18,IF(L18&gt;0.32,#REF!,MIN(E18:G18)))</f>
        <v>1944.18</v>
      </c>
      <c r="N18" s="27">
        <f>IFERROR(M18*D18,"")</f>
        <v>1944.18</v>
      </c>
    </row>
    <row r="19" spans="1:14" outlineLevel="1" x14ac:dyDescent="0.25">
      <c r="A19" s="23">
        <f>A18+1</f>
        <v>2</v>
      </c>
      <c r="B19" s="23" t="s">
        <v>33</v>
      </c>
      <c r="C19" s="23" t="s">
        <v>32</v>
      </c>
      <c r="D19" s="24">
        <v>1</v>
      </c>
      <c r="E19" s="25">
        <v>6754.3</v>
      </c>
      <c r="F19" s="25">
        <v>12649.56</v>
      </c>
      <c r="G19" s="25">
        <v>13662</v>
      </c>
      <c r="H19" s="26"/>
      <c r="I19" s="25">
        <v>6327.5</v>
      </c>
      <c r="J19" s="25">
        <f>IFERROR(ROUND(AVERAGEIF(E19:G19,"&gt;0"),2),"")</f>
        <v>11021.95</v>
      </c>
      <c r="K19" s="27">
        <f t="shared" ref="K19:K39" si="1">IFERROR(_xlfn.STDEV.P($E19:$G19),"")</f>
        <v>3045.8613908639295</v>
      </c>
      <c r="L19" s="27">
        <f t="shared" ref="L19:L39" si="2">IFERROR(K19/J19,"")</f>
        <v>0.27634505608026977</v>
      </c>
      <c r="M19" s="27">
        <f>IF(L19&lt;0.06,J19,IF(L19&gt;0.32,#REF!,MIN(E19:G19)))</f>
        <v>6754.3</v>
      </c>
      <c r="N19" s="27">
        <f t="shared" ref="N19:N31" si="3">IFERROR(M19*D19,"")</f>
        <v>6754.3</v>
      </c>
    </row>
    <row r="20" spans="1:14" ht="18.75" customHeight="1" outlineLevel="1" x14ac:dyDescent="0.25">
      <c r="A20" s="23">
        <f t="shared" ref="A20:A23" si="4">A19+1</f>
        <v>3</v>
      </c>
      <c r="B20" s="23" t="s">
        <v>34</v>
      </c>
      <c r="C20" s="23" t="s">
        <v>32</v>
      </c>
      <c r="D20" s="24">
        <v>1</v>
      </c>
      <c r="E20" s="25">
        <v>14025.72</v>
      </c>
      <c r="F20" s="25">
        <v>27475.35</v>
      </c>
      <c r="G20" s="25">
        <v>29754</v>
      </c>
      <c r="H20" s="26"/>
      <c r="I20" s="25">
        <v>13499.61</v>
      </c>
      <c r="J20" s="25">
        <f t="shared" ref="J20:J40" si="5">IFERROR(ROUND(AVERAGEIF(E20:G20,"&gt;0"),2),"")</f>
        <v>23751.69</v>
      </c>
      <c r="K20" s="27">
        <f t="shared" si="1"/>
        <v>6939.9294322204678</v>
      </c>
      <c r="L20" s="27">
        <f t="shared" si="2"/>
        <v>0.2921867636458908</v>
      </c>
      <c r="M20" s="27">
        <f>IF(L20&lt;0.06,J20,IF(L20&gt;0.32,#REF!,MIN(E20:G20)))</f>
        <v>14025.72</v>
      </c>
      <c r="N20" s="27">
        <f t="shared" si="3"/>
        <v>14025.72</v>
      </c>
    </row>
    <row r="21" spans="1:14" ht="31.5" customHeight="1" outlineLevel="1" x14ac:dyDescent="0.25">
      <c r="A21" s="23">
        <f t="shared" si="4"/>
        <v>4</v>
      </c>
      <c r="B21" s="23" t="s">
        <v>35</v>
      </c>
      <c r="C21" s="23" t="s">
        <v>32</v>
      </c>
      <c r="D21" s="24">
        <v>1</v>
      </c>
      <c r="E21" s="25">
        <v>8339.82</v>
      </c>
      <c r="F21" s="25">
        <v>11814.96</v>
      </c>
      <c r="G21" s="25">
        <v>12792</v>
      </c>
      <c r="H21" s="26"/>
      <c r="I21" s="25">
        <v>6176.22</v>
      </c>
      <c r="J21" s="25">
        <f t="shared" si="5"/>
        <v>10982.26</v>
      </c>
      <c r="K21" s="27">
        <f t="shared" si="1"/>
        <v>1910.5878075608025</v>
      </c>
      <c r="L21" s="27">
        <f t="shared" si="2"/>
        <v>0.17397036744356831</v>
      </c>
      <c r="M21" s="27">
        <f>IF(L21&lt;0.06,J21,IF(L21&gt;0.32,#REF!,MIN(E21:G21)))</f>
        <v>8339.82</v>
      </c>
      <c r="N21" s="27">
        <f t="shared" si="3"/>
        <v>8339.82</v>
      </c>
    </row>
    <row r="22" spans="1:14" outlineLevel="1" x14ac:dyDescent="0.25">
      <c r="A22" s="23">
        <f t="shared" si="4"/>
        <v>5</v>
      </c>
      <c r="B22" s="23" t="s">
        <v>36</v>
      </c>
      <c r="C22" s="23" t="s">
        <v>32</v>
      </c>
      <c r="D22" s="24">
        <v>1</v>
      </c>
      <c r="E22" s="25">
        <v>5458.8</v>
      </c>
      <c r="F22" s="25"/>
      <c r="G22" s="25"/>
      <c r="H22" s="26"/>
      <c r="I22" s="25">
        <v>5623.8</v>
      </c>
      <c r="J22" s="25">
        <f t="shared" si="5"/>
        <v>5458.8</v>
      </c>
      <c r="K22" s="27">
        <f t="shared" si="1"/>
        <v>0</v>
      </c>
      <c r="L22" s="27">
        <f t="shared" si="2"/>
        <v>0</v>
      </c>
      <c r="M22" s="27">
        <f>IF(L22&lt;0.06,J22,IF(L22&gt;0.32,#REF!,MIN(E22:G22)))</f>
        <v>5458.8</v>
      </c>
      <c r="N22" s="27">
        <f t="shared" si="3"/>
        <v>5458.8</v>
      </c>
    </row>
    <row r="23" spans="1:14" outlineLevel="1" x14ac:dyDescent="0.25">
      <c r="A23" s="23">
        <f t="shared" si="4"/>
        <v>6</v>
      </c>
      <c r="B23" s="23" t="s">
        <v>37</v>
      </c>
      <c r="C23" s="23" t="s">
        <v>32</v>
      </c>
      <c r="D23" s="24">
        <v>1</v>
      </c>
      <c r="E23" s="25">
        <v>35766.06</v>
      </c>
      <c r="F23" s="25">
        <v>61853.22</v>
      </c>
      <c r="G23" s="25">
        <v>66984</v>
      </c>
      <c r="H23" s="26"/>
      <c r="I23" s="25">
        <v>19906.32</v>
      </c>
      <c r="J23" s="25">
        <f t="shared" si="5"/>
        <v>54867.76</v>
      </c>
      <c r="K23" s="27">
        <f t="shared" si="1"/>
        <v>13668.392566296885</v>
      </c>
      <c r="L23" s="27">
        <f t="shared" si="2"/>
        <v>0.24911519198700446</v>
      </c>
      <c r="M23" s="27">
        <f>IF(L23&lt;0.06,J23,IF(L23&gt;0.32,#REF!,MIN(E23:G23)))</f>
        <v>35766.06</v>
      </c>
      <c r="N23" s="27">
        <f t="shared" si="3"/>
        <v>35766.06</v>
      </c>
    </row>
    <row r="24" spans="1:14" ht="47.25" outlineLevel="1" x14ac:dyDescent="0.25">
      <c r="A24" s="23">
        <f>A23+1</f>
        <v>7</v>
      </c>
      <c r="B24" s="23" t="s">
        <v>38</v>
      </c>
      <c r="C24" s="23" t="s">
        <v>32</v>
      </c>
      <c r="D24" s="24">
        <v>1</v>
      </c>
      <c r="E24" s="25">
        <v>29112.54</v>
      </c>
      <c r="F24" s="25"/>
      <c r="G24" s="25"/>
      <c r="H24" s="26"/>
      <c r="I24" s="25">
        <v>28635.24</v>
      </c>
      <c r="J24" s="25">
        <f t="shared" si="5"/>
        <v>29112.54</v>
      </c>
      <c r="K24" s="27">
        <f t="shared" si="1"/>
        <v>0</v>
      </c>
      <c r="L24" s="27">
        <f t="shared" si="2"/>
        <v>0</v>
      </c>
      <c r="M24" s="27">
        <f>IF(L24&lt;0.06,J24,IF(L24&gt;0.32,#REF!,MIN(E24:G24)))</f>
        <v>29112.54</v>
      </c>
      <c r="N24" s="27">
        <f t="shared" si="3"/>
        <v>29112.54</v>
      </c>
    </row>
    <row r="25" spans="1:14" ht="33.75" customHeight="1" outlineLevel="1" x14ac:dyDescent="0.25">
      <c r="A25" s="23">
        <v>8</v>
      </c>
      <c r="B25" s="23" t="s">
        <v>39</v>
      </c>
      <c r="C25" s="23" t="s">
        <v>32</v>
      </c>
      <c r="D25" s="24">
        <v>1</v>
      </c>
      <c r="E25" s="25">
        <v>26606.16</v>
      </c>
      <c r="F25" s="25"/>
      <c r="G25" s="25"/>
      <c r="H25" s="26"/>
      <c r="I25" s="25">
        <v>29024.94</v>
      </c>
      <c r="J25" s="25">
        <f t="shared" si="5"/>
        <v>26606.16</v>
      </c>
      <c r="K25" s="27">
        <f t="shared" si="1"/>
        <v>0</v>
      </c>
      <c r="L25" s="27">
        <f t="shared" si="2"/>
        <v>0</v>
      </c>
      <c r="M25" s="27">
        <f>IF(L25&lt;0.06,J25,IF(L25&gt;0.32,#REF!,MIN(E25:G25)))</f>
        <v>26606.16</v>
      </c>
      <c r="N25" s="27">
        <f t="shared" si="3"/>
        <v>26606.16</v>
      </c>
    </row>
    <row r="26" spans="1:14" outlineLevel="1" x14ac:dyDescent="0.25">
      <c r="A26" s="23">
        <v>9</v>
      </c>
      <c r="B26" s="23" t="s">
        <v>40</v>
      </c>
      <c r="C26" s="23" t="s">
        <v>32</v>
      </c>
      <c r="D26" s="24">
        <v>1</v>
      </c>
      <c r="E26" s="25">
        <v>18642.150000000001</v>
      </c>
      <c r="F26" s="25">
        <v>32028.69</v>
      </c>
      <c r="G26" s="25">
        <v>34686</v>
      </c>
      <c r="H26" s="26"/>
      <c r="I26" s="25">
        <v>17566.349999999999</v>
      </c>
      <c r="J26" s="25">
        <f t="shared" si="5"/>
        <v>28452.28</v>
      </c>
      <c r="K26" s="27">
        <f t="shared" si="1"/>
        <v>7021.1258390517369</v>
      </c>
      <c r="L26" s="27">
        <f t="shared" si="2"/>
        <v>0.24676847827491286</v>
      </c>
      <c r="M26" s="27">
        <f>IF(L26&lt;0.06,J26,IF(L26&gt;0.32,#REF!,MIN(E26:G26)))</f>
        <v>18642.150000000001</v>
      </c>
      <c r="N26" s="27">
        <f t="shared" si="3"/>
        <v>18642.150000000001</v>
      </c>
    </row>
    <row r="27" spans="1:14" outlineLevel="1" x14ac:dyDescent="0.25">
      <c r="A27" s="23">
        <v>10</v>
      </c>
      <c r="B27" s="23" t="s">
        <v>41</v>
      </c>
      <c r="C27" s="23" t="s">
        <v>32</v>
      </c>
      <c r="D27" s="24">
        <v>1</v>
      </c>
      <c r="E27" s="25">
        <v>4135.68</v>
      </c>
      <c r="F27" s="25"/>
      <c r="G27" s="25"/>
      <c r="H27" s="26"/>
      <c r="I27" s="25">
        <v>4135.68</v>
      </c>
      <c r="J27" s="25">
        <f t="shared" si="5"/>
        <v>4135.68</v>
      </c>
      <c r="K27" s="27">
        <f t="shared" si="1"/>
        <v>0</v>
      </c>
      <c r="L27" s="27">
        <f t="shared" si="2"/>
        <v>0</v>
      </c>
      <c r="M27" s="27">
        <f>IF(L27&lt;0.06,J27,IF(L27&gt;0.32,#REF!,MIN(E27:G27)))</f>
        <v>4135.68</v>
      </c>
      <c r="N27" s="27">
        <f t="shared" si="3"/>
        <v>4135.68</v>
      </c>
    </row>
    <row r="28" spans="1:14" outlineLevel="1" x14ac:dyDescent="0.25">
      <c r="A28" s="23">
        <v>11</v>
      </c>
      <c r="B28" s="23" t="s">
        <v>42</v>
      </c>
      <c r="C28" s="23" t="s">
        <v>32</v>
      </c>
      <c r="D28" s="24">
        <v>2</v>
      </c>
      <c r="E28" s="25">
        <v>1453.68</v>
      </c>
      <c r="F28" s="25"/>
      <c r="G28" s="25"/>
      <c r="H28" s="26"/>
      <c r="I28" s="25">
        <v>1449.3</v>
      </c>
      <c r="J28" s="25">
        <f t="shared" si="5"/>
        <v>1453.68</v>
      </c>
      <c r="K28" s="27">
        <f t="shared" si="1"/>
        <v>0</v>
      </c>
      <c r="L28" s="27">
        <f t="shared" si="2"/>
        <v>0</v>
      </c>
      <c r="M28" s="27">
        <f>IF(L28&lt;0.06,J28,IF(L28&gt;0.32,#REF!,MIN(E28:G28)))</f>
        <v>1453.68</v>
      </c>
      <c r="N28" s="27">
        <f t="shared" si="3"/>
        <v>2907.36</v>
      </c>
    </row>
    <row r="29" spans="1:14" outlineLevel="1" x14ac:dyDescent="0.25">
      <c r="A29" s="23">
        <v>12</v>
      </c>
      <c r="B29" s="23" t="s">
        <v>43</v>
      </c>
      <c r="C29" s="23" t="s">
        <v>32</v>
      </c>
      <c r="D29" s="24">
        <v>1</v>
      </c>
      <c r="E29" s="25">
        <v>3689.58</v>
      </c>
      <c r="F29" s="25"/>
      <c r="G29" s="25"/>
      <c r="H29" s="26"/>
      <c r="I29" s="25">
        <v>7271.46</v>
      </c>
      <c r="J29" s="25">
        <f t="shared" si="5"/>
        <v>3689.58</v>
      </c>
      <c r="K29" s="27">
        <f t="shared" si="1"/>
        <v>0</v>
      </c>
      <c r="L29" s="27">
        <f t="shared" si="2"/>
        <v>0</v>
      </c>
      <c r="M29" s="27">
        <f>IF(L29&lt;0.06,J29,IF(L29&gt;0.32,#REF!,MIN(E29:G29)))</f>
        <v>3689.58</v>
      </c>
      <c r="N29" s="27">
        <f t="shared" si="3"/>
        <v>3689.58</v>
      </c>
    </row>
    <row r="30" spans="1:14" ht="31.5" outlineLevel="1" x14ac:dyDescent="0.25">
      <c r="A30" s="23">
        <v>13</v>
      </c>
      <c r="B30" s="23" t="s">
        <v>44</v>
      </c>
      <c r="C30" s="23" t="s">
        <v>32</v>
      </c>
      <c r="D30" s="24">
        <v>1</v>
      </c>
      <c r="E30" s="25">
        <v>20879.82</v>
      </c>
      <c r="F30" s="25"/>
      <c r="G30" s="25"/>
      <c r="H30" s="26"/>
      <c r="I30" s="25">
        <v>20879.82</v>
      </c>
      <c r="J30" s="25">
        <f t="shared" si="5"/>
        <v>20879.82</v>
      </c>
      <c r="K30" s="27">
        <f t="shared" si="1"/>
        <v>0</v>
      </c>
      <c r="L30" s="27">
        <f t="shared" si="2"/>
        <v>0</v>
      </c>
      <c r="M30" s="27">
        <f>IF(L30&lt;0.06,J30,IF(L30&gt;0.32,#REF!,MIN(E30:G30)))</f>
        <v>20879.82</v>
      </c>
      <c r="N30" s="27">
        <f t="shared" si="3"/>
        <v>20879.82</v>
      </c>
    </row>
    <row r="31" spans="1:14" ht="31.5" outlineLevel="1" x14ac:dyDescent="0.25">
      <c r="A31" s="23">
        <v>14</v>
      </c>
      <c r="B31" s="23" t="s">
        <v>45</v>
      </c>
      <c r="C31" s="23" t="s">
        <v>32</v>
      </c>
      <c r="D31" s="24">
        <v>1</v>
      </c>
      <c r="E31" s="25">
        <v>15408.18</v>
      </c>
      <c r="F31" s="25"/>
      <c r="G31" s="25"/>
      <c r="H31" s="26"/>
      <c r="I31" s="25">
        <v>14022.18</v>
      </c>
      <c r="J31" s="25">
        <f t="shared" si="5"/>
        <v>15408.18</v>
      </c>
      <c r="K31" s="27">
        <f t="shared" si="1"/>
        <v>0</v>
      </c>
      <c r="L31" s="27">
        <f t="shared" si="2"/>
        <v>0</v>
      </c>
      <c r="M31" s="27">
        <f>IF(L31&lt;0.06,J31,IF(L31&gt;0.32,#REF!,MIN(E31:G31)))</f>
        <v>15408.18</v>
      </c>
      <c r="N31" s="27">
        <f t="shared" si="3"/>
        <v>15408.18</v>
      </c>
    </row>
    <row r="32" spans="1:14" outlineLevel="1" x14ac:dyDescent="0.25">
      <c r="A32" s="23">
        <v>15</v>
      </c>
      <c r="B32" s="23" t="s">
        <v>46</v>
      </c>
      <c r="C32" s="23" t="s">
        <v>32</v>
      </c>
      <c r="D32" s="24">
        <v>1</v>
      </c>
      <c r="E32" s="25">
        <v>3895.65</v>
      </c>
      <c r="F32" s="25"/>
      <c r="G32" s="25"/>
      <c r="H32" s="26"/>
      <c r="I32" s="25">
        <v>3895.65</v>
      </c>
      <c r="J32" s="25">
        <f t="shared" si="5"/>
        <v>3895.65</v>
      </c>
      <c r="K32" s="27">
        <f t="shared" si="1"/>
        <v>0</v>
      </c>
      <c r="L32" s="27">
        <f t="shared" si="2"/>
        <v>0</v>
      </c>
      <c r="M32" s="27">
        <f>IF(L32&lt;0.06,J32,IF(L32&gt;0.32,#REF!,MIN(E32:G32)))</f>
        <v>3895.65</v>
      </c>
      <c r="N32" s="27">
        <v>3895.65</v>
      </c>
    </row>
    <row r="33" spans="1:14" outlineLevel="1" x14ac:dyDescent="0.25">
      <c r="A33" s="23">
        <v>16</v>
      </c>
      <c r="B33" s="23" t="s">
        <v>47</v>
      </c>
      <c r="C33" s="23" t="s">
        <v>32</v>
      </c>
      <c r="D33" s="24">
        <v>2</v>
      </c>
      <c r="E33" s="25">
        <v>1565.34</v>
      </c>
      <c r="F33" s="25"/>
      <c r="G33" s="25"/>
      <c r="H33" s="26"/>
      <c r="I33" s="25">
        <v>1575.6</v>
      </c>
      <c r="J33" s="25">
        <f t="shared" si="5"/>
        <v>1565.34</v>
      </c>
      <c r="K33" s="27">
        <f t="shared" si="1"/>
        <v>0</v>
      </c>
      <c r="L33" s="27">
        <f t="shared" si="2"/>
        <v>0</v>
      </c>
      <c r="M33" s="27">
        <f>IF(L33&lt;0.06,J33,IF(L33&gt;0.32,#REF!,MIN(E33:G33)))</f>
        <v>1565.34</v>
      </c>
      <c r="N33" s="27">
        <v>1565.34</v>
      </c>
    </row>
    <row r="34" spans="1:14" outlineLevel="1" x14ac:dyDescent="0.25">
      <c r="A34" s="23">
        <v>17</v>
      </c>
      <c r="B34" s="23" t="s">
        <v>48</v>
      </c>
      <c r="C34" s="23" t="s">
        <v>32</v>
      </c>
      <c r="D34" s="24">
        <v>2</v>
      </c>
      <c r="E34" s="25">
        <v>3843.21</v>
      </c>
      <c r="F34" s="25"/>
      <c r="G34" s="25"/>
      <c r="H34" s="26"/>
      <c r="I34" s="25">
        <v>3553.51</v>
      </c>
      <c r="J34" s="25">
        <f t="shared" si="5"/>
        <v>3843.21</v>
      </c>
      <c r="K34" s="27">
        <f t="shared" si="1"/>
        <v>0</v>
      </c>
      <c r="L34" s="27">
        <f t="shared" si="2"/>
        <v>0</v>
      </c>
      <c r="M34" s="27">
        <f>IF(L34&lt;0.06,J34,IF(L34&gt;0.32,#REF!,MIN(E34:G34)))</f>
        <v>3843.21</v>
      </c>
      <c r="N34" s="27">
        <v>3843.21</v>
      </c>
    </row>
    <row r="35" spans="1:14" ht="31.5" outlineLevel="1" x14ac:dyDescent="0.25">
      <c r="A35" s="23">
        <v>18</v>
      </c>
      <c r="B35" s="23" t="s">
        <v>49</v>
      </c>
      <c r="C35" s="23" t="s">
        <v>32</v>
      </c>
      <c r="D35" s="24">
        <v>1</v>
      </c>
      <c r="E35" s="25">
        <v>15155.34</v>
      </c>
      <c r="F35" s="25">
        <v>32157.18</v>
      </c>
      <c r="G35" s="25">
        <v>34728</v>
      </c>
      <c r="H35" s="26"/>
      <c r="I35" s="25">
        <v>14209.8</v>
      </c>
      <c r="J35" s="25">
        <f t="shared" si="5"/>
        <v>27346.84</v>
      </c>
      <c r="K35" s="27">
        <f t="shared" si="1"/>
        <v>8684.3454197999217</v>
      </c>
      <c r="L35" s="27">
        <f t="shared" si="2"/>
        <v>0.31756303177258949</v>
      </c>
      <c r="M35" s="27">
        <f>IF(L35&lt;0.06,J35,IF(L35&gt;0.32,#REF!,MIN(E35:G35)))</f>
        <v>15155.34</v>
      </c>
      <c r="N35" s="27">
        <v>15155.34</v>
      </c>
    </row>
    <row r="36" spans="1:14" outlineLevel="1" x14ac:dyDescent="0.25">
      <c r="A36" s="23">
        <v>19</v>
      </c>
      <c r="B36" s="23" t="s">
        <v>50</v>
      </c>
      <c r="C36" s="23" t="s">
        <v>32</v>
      </c>
      <c r="D36" s="24">
        <v>1</v>
      </c>
      <c r="E36" s="25">
        <v>42977.279999999999</v>
      </c>
      <c r="F36" s="25">
        <v>67981.98</v>
      </c>
      <c r="G36" s="25">
        <v>73422</v>
      </c>
      <c r="H36" s="26"/>
      <c r="I36" s="25">
        <v>36832</v>
      </c>
      <c r="J36" s="25">
        <f t="shared" si="5"/>
        <v>61460.42</v>
      </c>
      <c r="K36" s="27">
        <f t="shared" si="1"/>
        <v>13256.905184212483</v>
      </c>
      <c r="L36" s="27">
        <f t="shared" si="2"/>
        <v>0.21569825237465809</v>
      </c>
      <c r="M36" s="27">
        <f>IF(L36&lt;0.06,J36,IF(L36&gt;0.32,#REF!,MIN(E36:G36)))</f>
        <v>42977.279999999999</v>
      </c>
      <c r="N36" s="27">
        <v>42977.279999999999</v>
      </c>
    </row>
    <row r="37" spans="1:14" ht="31.5" outlineLevel="1" x14ac:dyDescent="0.25">
      <c r="A37" s="23">
        <v>20</v>
      </c>
      <c r="B37" s="23" t="s">
        <v>51</v>
      </c>
      <c r="C37" s="23" t="s">
        <v>32</v>
      </c>
      <c r="D37" s="24">
        <v>1</v>
      </c>
      <c r="E37" s="25">
        <v>8828.5499999999993</v>
      </c>
      <c r="F37" s="25"/>
      <c r="G37" s="25"/>
      <c r="H37" s="26"/>
      <c r="I37" s="25">
        <v>9281.94</v>
      </c>
      <c r="J37" s="25">
        <f t="shared" si="5"/>
        <v>8828.5499999999993</v>
      </c>
      <c r="K37" s="27">
        <f t="shared" si="1"/>
        <v>0</v>
      </c>
      <c r="L37" s="27">
        <f t="shared" si="2"/>
        <v>0</v>
      </c>
      <c r="M37" s="27">
        <f>IF(L37&lt;0.06,J37,IF(L37&gt;0.32,#REF!,MIN(E37:G37)))</f>
        <v>8828.5499999999993</v>
      </c>
      <c r="N37" s="27">
        <v>8828.5499999999993</v>
      </c>
    </row>
    <row r="38" spans="1:14" outlineLevel="1" x14ac:dyDescent="0.25">
      <c r="A38" s="23">
        <v>21</v>
      </c>
      <c r="B38" s="23" t="s">
        <v>52</v>
      </c>
      <c r="C38" s="23" t="s">
        <v>32</v>
      </c>
      <c r="D38" s="24">
        <v>1</v>
      </c>
      <c r="E38" s="25">
        <v>36799.14</v>
      </c>
      <c r="F38" s="25">
        <v>63236.04</v>
      </c>
      <c r="G38" s="25">
        <v>68484</v>
      </c>
      <c r="H38" s="26"/>
      <c r="I38" s="25">
        <v>34706.94</v>
      </c>
      <c r="J38" s="25">
        <f t="shared" si="5"/>
        <v>56173.06</v>
      </c>
      <c r="K38" s="27">
        <f t="shared" si="1"/>
        <v>13865.949977437549</v>
      </c>
      <c r="L38" s="27">
        <f t="shared" si="2"/>
        <v>0.2468434152855043</v>
      </c>
      <c r="M38" s="27">
        <f>IF(L38&lt;0.06,J38,IF(L38&gt;0.32,#REF!,MIN(E38:G38)))</f>
        <v>36799.14</v>
      </c>
      <c r="N38" s="27">
        <v>36799.14</v>
      </c>
    </row>
    <row r="39" spans="1:14" outlineLevel="1" x14ac:dyDescent="0.25">
      <c r="A39" s="23">
        <v>22</v>
      </c>
      <c r="B39" s="23" t="s">
        <v>53</v>
      </c>
      <c r="C39" s="23" t="s">
        <v>32</v>
      </c>
      <c r="D39" s="24">
        <v>1</v>
      </c>
      <c r="E39" s="25">
        <v>3202.26</v>
      </c>
      <c r="F39" s="25"/>
      <c r="G39" s="25"/>
      <c r="H39" s="26"/>
      <c r="I39" s="25">
        <v>3070.26</v>
      </c>
      <c r="J39" s="25">
        <f t="shared" si="5"/>
        <v>3202.26</v>
      </c>
      <c r="K39" s="27">
        <f t="shared" si="1"/>
        <v>0</v>
      </c>
      <c r="L39" s="27">
        <f t="shared" si="2"/>
        <v>0</v>
      </c>
      <c r="M39" s="27">
        <f>IF(L39&lt;0.06,J39,IF(L39&gt;0.32,#REF!,MIN(E39:G39)))</f>
        <v>3202.26</v>
      </c>
      <c r="N39" s="27">
        <v>3202.26</v>
      </c>
    </row>
    <row r="40" spans="1:14" s="33" customFormat="1" ht="48" customHeight="1" x14ac:dyDescent="0.25">
      <c r="A40" s="28"/>
      <c r="B40" s="29" t="s">
        <v>54</v>
      </c>
      <c r="C40" s="30" t="s">
        <v>55</v>
      </c>
      <c r="D40" s="30" t="s">
        <v>55</v>
      </c>
      <c r="E40" s="31">
        <f>IFERROR(SUMPRODUCT($D$18:$D$39,E18:E39),"Х")</f>
        <v>315345.67</v>
      </c>
      <c r="F40" s="31">
        <f>IFERROR(SUMPRODUCT($D$18:$D$39,F18:F39),"Х")</f>
        <v>312767.99999999994</v>
      </c>
      <c r="G40" s="31">
        <f>IFERROR(SUMPRODUCT($D$18:$D$39,G18:G39),"Х")</f>
        <v>334512</v>
      </c>
      <c r="H40" s="25">
        <f>IFERROR(SUMPRODUCT($D$18:$D$39,H18:H39),"Х")</f>
        <v>0</v>
      </c>
      <c r="I40" s="25">
        <v>294223.17</v>
      </c>
      <c r="J40" s="25">
        <f t="shared" si="5"/>
        <v>320875.21999999997</v>
      </c>
      <c r="K40" s="27">
        <f>_xlfn.STDEV.P($E40:$G40)</f>
        <v>9699.9090734444144</v>
      </c>
      <c r="L40" s="30" t="s">
        <v>56</v>
      </c>
      <c r="M40" s="30" t="s">
        <v>56</v>
      </c>
      <c r="N40" s="32">
        <f>SUM(N18:N39)</f>
        <v>309937.12</v>
      </c>
    </row>
    <row r="41" spans="1:14" ht="31.5" x14ac:dyDescent="0.25">
      <c r="A41" s="34"/>
      <c r="B41" s="35" t="s">
        <v>57</v>
      </c>
      <c r="C41" s="36"/>
      <c r="D41" s="36"/>
      <c r="E41" s="37">
        <v>46133</v>
      </c>
      <c r="F41" s="37">
        <v>46133</v>
      </c>
      <c r="G41" s="37">
        <v>46133</v>
      </c>
      <c r="H41" s="36"/>
      <c r="I41" s="38"/>
      <c r="J41" s="36"/>
      <c r="K41" s="39"/>
      <c r="L41" s="40"/>
      <c r="M41" s="40"/>
      <c r="N41" s="39"/>
    </row>
    <row r="42" spans="1:14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</row>
    <row r="43" spans="1:14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</row>
    <row r="44" spans="1:14" ht="18.75" x14ac:dyDescent="0.3">
      <c r="B44" s="43" t="str">
        <f>[1]ЗАКУПКА!C4</f>
        <v>Начальник УД</v>
      </c>
      <c r="C44" s="3"/>
      <c r="D44" s="3"/>
      <c r="E44" s="3"/>
      <c r="F44" s="3"/>
      <c r="G44" s="3"/>
      <c r="H44" s="44"/>
      <c r="I44" s="44"/>
      <c r="J44" s="44"/>
      <c r="K44" s="45"/>
      <c r="L44" s="46" t="str">
        <f>[1]ЗАКУПКА!D4</f>
        <v>С.А. Окорокова</v>
      </c>
      <c r="M44" s="19"/>
    </row>
    <row r="45" spans="1:14" ht="18.75" x14ac:dyDescent="0.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4" ht="18.75" x14ac:dyDescent="0.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4" ht="18.75" x14ac:dyDescent="0.3">
      <c r="B47" s="47" t="str">
        <f>[1]ЗАКУПКА!C77</f>
        <v>Начальник сектора Семенова Н.В.</v>
      </c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4" ht="18.75" x14ac:dyDescent="0.3">
      <c r="B48" s="48" t="str">
        <f>[1]ЗАКУПКА!C78</f>
        <v>60-56</v>
      </c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2:14" ht="18.75" x14ac:dyDescent="0.3">
      <c r="B49" s="49" t="s">
        <v>58</v>
      </c>
      <c r="C49" s="50" t="str">
        <f>[1]ЗАКУПКА!B1</f>
        <v>23.04.2026 г.</v>
      </c>
      <c r="D49" s="50"/>
      <c r="E49" s="3"/>
      <c r="F49" s="3"/>
      <c r="G49" s="3"/>
      <c r="H49" s="3"/>
      <c r="I49" s="3"/>
      <c r="J49" s="3"/>
      <c r="K49" s="3"/>
      <c r="L49" s="3"/>
    </row>
    <row r="50" spans="2:14" ht="18.75" x14ac:dyDescent="0.3">
      <c r="B50" s="49" t="s">
        <v>59</v>
      </c>
      <c r="C50" s="51"/>
      <c r="D50" s="51"/>
      <c r="E50" s="3"/>
      <c r="F50" s="3"/>
      <c r="G50" s="3"/>
      <c r="H50" s="3"/>
      <c r="I50" s="3"/>
      <c r="J50" s="3"/>
      <c r="K50" s="3"/>
      <c r="L50" s="3"/>
    </row>
    <row r="51" spans="2:14" ht="18.75" x14ac:dyDescent="0.3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2:14" ht="15.75" customHeight="1" x14ac:dyDescent="0.25"/>
    <row r="56" spans="2:14" x14ac:dyDescent="0.25">
      <c r="N56" s="52"/>
    </row>
  </sheetData>
  <mergeCells count="29">
    <mergeCell ref="J15:J16"/>
    <mergeCell ref="K15:K16"/>
    <mergeCell ref="L15:L16"/>
    <mergeCell ref="M15:M16"/>
    <mergeCell ref="N15:N16"/>
    <mergeCell ref="C49:D49"/>
    <mergeCell ref="A11:E11"/>
    <mergeCell ref="F11:N11"/>
    <mergeCell ref="A12:E12"/>
    <mergeCell ref="F12:N12"/>
    <mergeCell ref="A13:N13"/>
    <mergeCell ref="A15:A16"/>
    <mergeCell ref="B15:B16"/>
    <mergeCell ref="C15:C16"/>
    <mergeCell ref="D15:D16"/>
    <mergeCell ref="E15:H15"/>
    <mergeCell ref="A8:E8"/>
    <mergeCell ref="F8:N8"/>
    <mergeCell ref="A9:E9"/>
    <mergeCell ref="F9:N9"/>
    <mergeCell ref="A10:E10"/>
    <mergeCell ref="F10:N10"/>
    <mergeCell ref="A1:N1"/>
    <mergeCell ref="A3:N3"/>
    <mergeCell ref="A4:N4"/>
    <mergeCell ref="A6:E6"/>
    <mergeCell ref="F6:N6"/>
    <mergeCell ref="A7:E7"/>
    <mergeCell ref="F7:N7"/>
  </mergeCells>
  <pageMargins left="0.59" right="0.24" top="0.6" bottom="0.75" header="0.51180555555555496" footer="0.51180555555555496"/>
  <pageSetup paperSize="9" scale="53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</vt:lpstr>
      <vt:lpstr>НМЦ!Область_печати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oz-07</dc:creator>
  <cp:lastModifiedBy>oz-07</cp:lastModifiedBy>
  <dcterms:created xsi:type="dcterms:W3CDTF">2026-05-25T05:24:17Z</dcterms:created>
  <dcterms:modified xsi:type="dcterms:W3CDTF">2026-05-25T05:25:01Z</dcterms:modified>
</cp:coreProperties>
</file>