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\МИНФИН\Мособоэнерго\"/>
    </mc:Choice>
  </mc:AlternateContent>
  <bookViews>
    <workbookView xWindow="0" yWindow="0" windowWidth="15435" windowHeight="13185"/>
  </bookViews>
  <sheets>
    <sheet name="Смета по ФСНБ 421+557прРИМ" sheetId="7" r:id="rId1"/>
    <sheet name="Source" sheetId="1" r:id="rId2"/>
    <sheet name="SourceObSm" sheetId="2" r:id="rId3"/>
    <sheet name="SmtRes" sheetId="3" r:id="rId4"/>
    <sheet name="EtalonRes" sheetId="4" r:id="rId5"/>
    <sheet name="SrcPoprs" sheetId="5" r:id="rId6"/>
    <sheet name="SrcKA" sheetId="6" r:id="rId7"/>
  </sheets>
  <definedNames>
    <definedName name="_xlnm.Print_Titles" localSheetId="0">'Смета по ФСНБ 421+557прРИМ'!$51:$51</definedName>
    <definedName name="_xlnm.Print_Area" localSheetId="0">'Смета по ФСНБ 421+557прРИМ'!$A$1:$L$373</definedName>
  </definedNames>
  <calcPr calcId="162913" iterate="1"/>
</workbook>
</file>

<file path=xl/calcChain.xml><?xml version="1.0" encoding="utf-8"?>
<calcChain xmlns="http://schemas.openxmlformats.org/spreadsheetml/2006/main">
  <c r="C361" i="7" l="1"/>
  <c r="A25" i="7"/>
  <c r="C43" i="7"/>
  <c r="L353" i="7"/>
  <c r="L349" i="7"/>
  <c r="L348" i="7"/>
  <c r="L342" i="7"/>
  <c r="L341" i="7"/>
  <c r="L337" i="7"/>
  <c r="L322" i="7"/>
  <c r="L321" i="7"/>
  <c r="L317" i="7"/>
  <c r="L306" i="7"/>
  <c r="L305" i="7"/>
  <c r="L304" i="7"/>
  <c r="L299" i="7"/>
  <c r="L298" i="7"/>
  <c r="L296" i="7" s="1"/>
  <c r="L291" i="7"/>
  <c r="L290" i="7"/>
  <c r="L286" i="7"/>
  <c r="L274" i="7"/>
  <c r="L273" i="7"/>
  <c r="L272" i="7"/>
  <c r="L271" i="7"/>
  <c r="L270" i="7"/>
  <c r="L269" i="7"/>
  <c r="L266" i="7"/>
  <c r="L265" i="7"/>
  <c r="L263" i="7"/>
  <c r="L261" i="7" s="1"/>
  <c r="L260" i="7"/>
  <c r="L249" i="7"/>
  <c r="L248" i="7"/>
  <c r="L245" i="7"/>
  <c r="L244" i="7"/>
  <c r="L242" i="7"/>
  <c r="L241" i="7"/>
  <c r="L235" i="7"/>
  <c r="L234" i="7"/>
  <c r="L230" i="7"/>
  <c r="AW220" i="7"/>
  <c r="AT220" i="7"/>
  <c r="AO220" i="7"/>
  <c r="AE220" i="7"/>
  <c r="AD220" i="7"/>
  <c r="CB220" i="7"/>
  <c r="CC220" i="7"/>
  <c r="G219" i="7"/>
  <c r="E219" i="7"/>
  <c r="G218" i="7"/>
  <c r="E218" i="7"/>
  <c r="L215" i="7"/>
  <c r="J215" i="7"/>
  <c r="G215" i="7"/>
  <c r="F215" i="7"/>
  <c r="L214" i="7"/>
  <c r="J214" i="7"/>
  <c r="G214" i="7"/>
  <c r="F214" i="7"/>
  <c r="E212" i="7"/>
  <c r="G212" i="7"/>
  <c r="D212" i="7"/>
  <c r="AW211" i="7"/>
  <c r="AT211" i="7"/>
  <c r="AO211" i="7"/>
  <c r="AE211" i="7"/>
  <c r="AD211" i="7"/>
  <c r="CB211" i="7"/>
  <c r="CC211" i="7"/>
  <c r="G210" i="7"/>
  <c r="E210" i="7"/>
  <c r="G209" i="7"/>
  <c r="E209" i="7"/>
  <c r="L206" i="7"/>
  <c r="J206" i="7"/>
  <c r="G206" i="7"/>
  <c r="L205" i="7"/>
  <c r="J205" i="7"/>
  <c r="G205" i="7"/>
  <c r="E203" i="7"/>
  <c r="G203" i="7"/>
  <c r="D203" i="7"/>
  <c r="C203" i="7"/>
  <c r="AW202" i="7"/>
  <c r="AT202" i="7"/>
  <c r="AO202" i="7"/>
  <c r="AE202" i="7"/>
  <c r="AD202" i="7"/>
  <c r="CB202" i="7"/>
  <c r="CC202" i="7"/>
  <c r="G201" i="7"/>
  <c r="E201" i="7"/>
  <c r="G200" i="7"/>
  <c r="E200" i="7"/>
  <c r="L197" i="7"/>
  <c r="J197" i="7"/>
  <c r="G197" i="7"/>
  <c r="L196" i="7"/>
  <c r="J196" i="7"/>
  <c r="G196" i="7"/>
  <c r="E194" i="7"/>
  <c r="G194" i="7"/>
  <c r="D194" i="7"/>
  <c r="C194" i="7"/>
  <c r="AW193" i="7"/>
  <c r="L320" i="7" s="1"/>
  <c r="AT193" i="7"/>
  <c r="AO193" i="7"/>
  <c r="AE193" i="7"/>
  <c r="AD193" i="7"/>
  <c r="CB193" i="7"/>
  <c r="CC193" i="7"/>
  <c r="G192" i="7"/>
  <c r="E192" i="7"/>
  <c r="G191" i="7"/>
  <c r="E191" i="7"/>
  <c r="L188" i="7"/>
  <c r="J188" i="7"/>
  <c r="G188" i="7"/>
  <c r="L187" i="7"/>
  <c r="J187" i="7"/>
  <c r="G187" i="7"/>
  <c r="C185" i="7"/>
  <c r="E184" i="7"/>
  <c r="G184" i="7"/>
  <c r="D184" i="7"/>
  <c r="C184" i="7"/>
  <c r="L180" i="7"/>
  <c r="L176" i="7"/>
  <c r="L175" i="7"/>
  <c r="L173" i="7"/>
  <c r="L172" i="7"/>
  <c r="L166" i="7"/>
  <c r="L165" i="7"/>
  <c r="L161" i="7"/>
  <c r="AE151" i="7"/>
  <c r="AD151" i="7"/>
  <c r="G150" i="7"/>
  <c r="E150" i="7"/>
  <c r="G149" i="7"/>
  <c r="E149" i="7"/>
  <c r="L146" i="7"/>
  <c r="I146" i="7"/>
  <c r="H146" i="7"/>
  <c r="G146" i="7"/>
  <c r="L145" i="7"/>
  <c r="I145" i="7"/>
  <c r="H145" i="7"/>
  <c r="G145" i="7"/>
  <c r="L144" i="7"/>
  <c r="J144" i="7"/>
  <c r="G144" i="7"/>
  <c r="L142" i="7"/>
  <c r="J142" i="7"/>
  <c r="E142" i="7"/>
  <c r="L141" i="7"/>
  <c r="J141" i="7"/>
  <c r="G141" i="7"/>
  <c r="L140" i="7"/>
  <c r="L138" i="7" s="1"/>
  <c r="J140" i="7"/>
  <c r="E140" i="7"/>
  <c r="L139" i="7"/>
  <c r="J139" i="7"/>
  <c r="G139" i="7"/>
  <c r="L136" i="7"/>
  <c r="L135" i="7" s="1"/>
  <c r="J136" i="7"/>
  <c r="G136" i="7"/>
  <c r="C134" i="7"/>
  <c r="E133" i="7"/>
  <c r="G133" i="7"/>
  <c r="D133" i="7"/>
  <c r="C133" i="7"/>
  <c r="AW132" i="7"/>
  <c r="AT132" i="7"/>
  <c r="AO132" i="7"/>
  <c r="AE132" i="7"/>
  <c r="AD132" i="7"/>
  <c r="G131" i="7"/>
  <c r="E131" i="7"/>
  <c r="G130" i="7"/>
  <c r="E130" i="7"/>
  <c r="L127" i="7"/>
  <c r="L126" i="7" s="1"/>
  <c r="J127" i="7"/>
  <c r="G127" i="7"/>
  <c r="C125" i="7"/>
  <c r="E124" i="7"/>
  <c r="G124" i="7"/>
  <c r="D124" i="7"/>
  <c r="C124" i="7"/>
  <c r="AT123" i="7"/>
  <c r="AO123" i="7"/>
  <c r="AE123" i="7"/>
  <c r="AD123" i="7"/>
  <c r="G122" i="7"/>
  <c r="E122" i="7"/>
  <c r="G121" i="7"/>
  <c r="E121" i="7"/>
  <c r="BA119" i="7"/>
  <c r="AZ119" i="7"/>
  <c r="AE119" i="7"/>
  <c r="AD119" i="7"/>
  <c r="L119" i="7"/>
  <c r="AW119" i="7" s="1"/>
  <c r="J119" i="7"/>
  <c r="E119" i="7"/>
  <c r="G119" i="7"/>
  <c r="D119" i="7"/>
  <c r="C119" i="7"/>
  <c r="B119" i="7"/>
  <c r="L117" i="7"/>
  <c r="I117" i="7"/>
  <c r="H117" i="7"/>
  <c r="G117" i="7"/>
  <c r="L116" i="7"/>
  <c r="I116" i="7"/>
  <c r="H116" i="7"/>
  <c r="G116" i="7"/>
  <c r="L115" i="7"/>
  <c r="I115" i="7"/>
  <c r="H115" i="7"/>
  <c r="G115" i="7"/>
  <c r="L113" i="7"/>
  <c r="L112" i="7" s="1"/>
  <c r="J113" i="7"/>
  <c r="G113" i="7"/>
  <c r="E111" i="7"/>
  <c r="G111" i="7"/>
  <c r="D111" i="7"/>
  <c r="C111" i="7"/>
  <c r="L106" i="7"/>
  <c r="L105" i="7"/>
  <c r="L102" i="7"/>
  <c r="L101" i="7"/>
  <c r="L99" i="7"/>
  <c r="L98" i="7"/>
  <c r="L92" i="7"/>
  <c r="L91" i="7"/>
  <c r="L87" i="7"/>
  <c r="AE77" i="7"/>
  <c r="AD77" i="7"/>
  <c r="G76" i="7"/>
  <c r="E76" i="7"/>
  <c r="G75" i="7"/>
  <c r="E75" i="7"/>
  <c r="L72" i="7"/>
  <c r="I72" i="7"/>
  <c r="H72" i="7"/>
  <c r="G72" i="7"/>
  <c r="L71" i="7"/>
  <c r="I71" i="7"/>
  <c r="H71" i="7"/>
  <c r="G71" i="7"/>
  <c r="L70" i="7"/>
  <c r="I70" i="7"/>
  <c r="H70" i="7"/>
  <c r="G70" i="7"/>
  <c r="L69" i="7"/>
  <c r="I69" i="7"/>
  <c r="H69" i="7"/>
  <c r="G69" i="7"/>
  <c r="L67" i="7"/>
  <c r="J67" i="7"/>
  <c r="F67" i="7"/>
  <c r="E67" i="7"/>
  <c r="L66" i="7"/>
  <c r="J66" i="7"/>
  <c r="G66" i="7"/>
  <c r="F66" i="7"/>
  <c r="L65" i="7"/>
  <c r="I65" i="7"/>
  <c r="H65" i="7"/>
  <c r="G65" i="7"/>
  <c r="F65" i="7"/>
  <c r="L64" i="7"/>
  <c r="I64" i="7"/>
  <c r="H64" i="7"/>
  <c r="G64" i="7"/>
  <c r="F64" i="7"/>
  <c r="L63" i="7"/>
  <c r="L61" i="7" s="1"/>
  <c r="J63" i="7"/>
  <c r="F63" i="7"/>
  <c r="E63" i="7"/>
  <c r="L62" i="7"/>
  <c r="J62" i="7"/>
  <c r="G62" i="7"/>
  <c r="F62" i="7"/>
  <c r="L59" i="7"/>
  <c r="L58" i="7" s="1"/>
  <c r="J59" i="7"/>
  <c r="G59" i="7"/>
  <c r="F59" i="7"/>
  <c r="C57" i="7"/>
  <c r="E54" i="7"/>
  <c r="G54" i="7"/>
  <c r="D54" i="7"/>
  <c r="C54" i="7"/>
  <c r="L43" i="7"/>
  <c r="K43" i="7"/>
  <c r="A27" i="7"/>
  <c r="CN22" i="7"/>
  <c r="A22" i="7"/>
  <c r="F16" i="7"/>
  <c r="F14" i="7"/>
  <c r="CO6" i="7"/>
  <c r="F6" i="7"/>
  <c r="CO4" i="7"/>
  <c r="F4" i="7"/>
  <c r="A1" i="7"/>
  <c r="J64" i="7" l="1"/>
  <c r="J145" i="7"/>
  <c r="L96" i="7"/>
  <c r="L318" i="7"/>
  <c r="J117" i="7"/>
  <c r="L346" i="7"/>
  <c r="L186" i="7"/>
  <c r="L189" i="7" s="1"/>
  <c r="L195" i="7"/>
  <c r="L267" i="7"/>
  <c r="L258" i="7" s="1"/>
  <c r="L256" i="7" s="1"/>
  <c r="L68" i="7"/>
  <c r="AW77" i="7" s="1"/>
  <c r="L90" i="7" s="1"/>
  <c r="L88" i="7" s="1"/>
  <c r="L227" i="7"/>
  <c r="L225" i="7" s="1"/>
  <c r="L366" i="7"/>
  <c r="J65" i="7"/>
  <c r="J116" i="7"/>
  <c r="AN119" i="7"/>
  <c r="L239" i="7"/>
  <c r="G67" i="7"/>
  <c r="J69" i="7"/>
  <c r="J72" i="7"/>
  <c r="AX119" i="7"/>
  <c r="L352" i="7" s="1"/>
  <c r="L314" i="7"/>
  <c r="L204" i="7"/>
  <c r="J115" i="7"/>
  <c r="L143" i="7"/>
  <c r="AW151" i="7" s="1"/>
  <c r="L170" i="7"/>
  <c r="L229" i="7"/>
  <c r="L213" i="7"/>
  <c r="AR220" i="7" s="1"/>
  <c r="L217" i="7" s="1"/>
  <c r="J71" i="7"/>
  <c r="L114" i="7"/>
  <c r="AW123" i="7" s="1"/>
  <c r="G140" i="7"/>
  <c r="G142" i="7"/>
  <c r="J146" i="7"/>
  <c r="G63" i="7"/>
  <c r="J70" i="7"/>
  <c r="AR77" i="7"/>
  <c r="AT151" i="7"/>
  <c r="L160" i="7" s="1"/>
  <c r="L137" i="7"/>
  <c r="AO151" i="7" s="1"/>
  <c r="AR202" i="7"/>
  <c r="L199" i="7" s="1"/>
  <c r="L198" i="7"/>
  <c r="L207" i="7"/>
  <c r="L158" i="7"/>
  <c r="AR123" i="7"/>
  <c r="AR151" i="7"/>
  <c r="L148" i="7" s="1"/>
  <c r="L60" i="7"/>
  <c r="AO77" i="7" s="1"/>
  <c r="AT77" i="7"/>
  <c r="L128" i="7"/>
  <c r="AR132" i="7"/>
  <c r="L129" i="7" s="1"/>
  <c r="L233" i="7"/>
  <c r="L231" i="7" s="1"/>
  <c r="L316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1" i="3"/>
  <c r="Y1" i="3"/>
  <c r="CY1" i="3"/>
  <c r="CZ1" i="3"/>
  <c r="DA1" i="3"/>
  <c r="DB1" i="3"/>
  <c r="DC1" i="3"/>
  <c r="A2" i="3"/>
  <c r="Y2" i="3"/>
  <c r="CX2" i="3" s="1"/>
  <c r="CY2" i="3"/>
  <c r="CZ2" i="3"/>
  <c r="DA2" i="3"/>
  <c r="DB2" i="3"/>
  <c r="DC2" i="3"/>
  <c r="A3" i="3"/>
  <c r="Y3" i="3"/>
  <c r="CW3" i="3" s="1"/>
  <c r="CY3" i="3"/>
  <c r="CZ3" i="3"/>
  <c r="DB3" i="3" s="1"/>
  <c r="DA3" i="3"/>
  <c r="DC3" i="3"/>
  <c r="A4" i="3"/>
  <c r="Y4" i="3"/>
  <c r="CY4" i="3"/>
  <c r="CZ4" i="3"/>
  <c r="DB4" i="3" s="1"/>
  <c r="DA4" i="3"/>
  <c r="DC4" i="3"/>
  <c r="A5" i="3"/>
  <c r="Y5" i="3"/>
  <c r="CW5" i="3" s="1"/>
  <c r="CY5" i="3"/>
  <c r="CZ5" i="3"/>
  <c r="DA5" i="3"/>
  <c r="DB5" i="3"/>
  <c r="DC5" i="3"/>
  <c r="A6" i="3"/>
  <c r="Y6" i="3"/>
  <c r="CW6" i="3" s="1"/>
  <c r="CY6" i="3"/>
  <c r="CZ6" i="3"/>
  <c r="DB6" i="3" s="1"/>
  <c r="DA6" i="3"/>
  <c r="DC6" i="3"/>
  <c r="A7" i="3"/>
  <c r="Y7" i="3"/>
  <c r="CY7" i="3"/>
  <c r="CZ7" i="3"/>
  <c r="DB7" i="3" s="1"/>
  <c r="DA7" i="3"/>
  <c r="DC7" i="3"/>
  <c r="A8" i="3"/>
  <c r="Y8" i="3"/>
  <c r="CY8" i="3"/>
  <c r="CZ8" i="3"/>
  <c r="DB8" i="3" s="1"/>
  <c r="DA8" i="3"/>
  <c r="DC8" i="3"/>
  <c r="A9" i="3"/>
  <c r="Y9" i="3"/>
  <c r="CX9" i="3" s="1"/>
  <c r="CY9" i="3"/>
  <c r="CZ9" i="3"/>
  <c r="DA9" i="3"/>
  <c r="DB9" i="3"/>
  <c r="DC9" i="3"/>
  <c r="A10" i="3"/>
  <c r="Y10" i="3"/>
  <c r="CX10" i="3" s="1"/>
  <c r="CY10" i="3"/>
  <c r="CZ10" i="3"/>
  <c r="DA10" i="3"/>
  <c r="DB10" i="3"/>
  <c r="DC10" i="3"/>
  <c r="A11" i="3"/>
  <c r="Y11" i="3"/>
  <c r="CX11" i="3" s="1"/>
  <c r="CU11" i="3"/>
  <c r="CY11" i="3"/>
  <c r="CZ11" i="3"/>
  <c r="DB11" i="3" s="1"/>
  <c r="DA11" i="3"/>
  <c r="DC11" i="3"/>
  <c r="A12" i="3"/>
  <c r="Y12" i="3"/>
  <c r="CX12" i="3"/>
  <c r="DG12" i="3" s="1"/>
  <c r="CY12" i="3"/>
  <c r="CZ12" i="3"/>
  <c r="DB12" i="3" s="1"/>
  <c r="DA12" i="3"/>
  <c r="DC12" i="3"/>
  <c r="DF12" i="3"/>
  <c r="DJ12" i="3" s="1"/>
  <c r="A13" i="3"/>
  <c r="Y13" i="3"/>
  <c r="CX13" i="3" s="1"/>
  <c r="CY13" i="3"/>
  <c r="CZ13" i="3"/>
  <c r="DA13" i="3"/>
  <c r="DB13" i="3"/>
  <c r="DC13" i="3"/>
  <c r="A14" i="3"/>
  <c r="Y14" i="3"/>
  <c r="CX14" i="3" s="1"/>
  <c r="CY14" i="3"/>
  <c r="CZ14" i="3"/>
  <c r="DA14" i="3"/>
  <c r="DB14" i="3"/>
  <c r="DC14" i="3"/>
  <c r="A15" i="3"/>
  <c r="Y15" i="3"/>
  <c r="CX15" i="3" s="1"/>
  <c r="CY15" i="3"/>
  <c r="CZ15" i="3"/>
  <c r="DA15" i="3"/>
  <c r="DB15" i="3"/>
  <c r="DC15" i="3"/>
  <c r="A16" i="3"/>
  <c r="Y16" i="3"/>
  <c r="CY16" i="3"/>
  <c r="CZ16" i="3"/>
  <c r="DB16" i="3" s="1"/>
  <c r="DA16" i="3"/>
  <c r="DC16" i="3"/>
  <c r="A17" i="3"/>
  <c r="Y17" i="3"/>
  <c r="CY17" i="3"/>
  <c r="CZ17" i="3"/>
  <c r="DA17" i="3"/>
  <c r="DB17" i="3"/>
  <c r="DC17" i="3"/>
  <c r="A18" i="3"/>
  <c r="Y18" i="3"/>
  <c r="CY18" i="3"/>
  <c r="CZ18" i="3"/>
  <c r="DB18" i="3" s="1"/>
  <c r="DA18" i="3"/>
  <c r="DC18" i="3"/>
  <c r="A19" i="3"/>
  <c r="Y19" i="3"/>
  <c r="CY19" i="3"/>
  <c r="CZ19" i="3"/>
  <c r="DB19" i="3" s="1"/>
  <c r="DA19" i="3"/>
  <c r="DC19" i="3"/>
  <c r="A20" i="3"/>
  <c r="Y20" i="3"/>
  <c r="CY20" i="3"/>
  <c r="CZ20" i="3"/>
  <c r="DA20" i="3"/>
  <c r="DB20" i="3"/>
  <c r="DC20" i="3"/>
  <c r="A21" i="3"/>
  <c r="Y21" i="3"/>
  <c r="CY21" i="3"/>
  <c r="CZ21" i="3"/>
  <c r="DA21" i="3"/>
  <c r="DB21" i="3"/>
  <c r="DC21" i="3"/>
  <c r="A22" i="3"/>
  <c r="Y22" i="3"/>
  <c r="CY22" i="3"/>
  <c r="CZ22" i="3"/>
  <c r="DB22" i="3" s="1"/>
  <c r="DA22" i="3"/>
  <c r="DC22" i="3"/>
  <c r="A23" i="3"/>
  <c r="Y23" i="3"/>
  <c r="CY23" i="3"/>
  <c r="CZ23" i="3"/>
  <c r="DB23" i="3" s="1"/>
  <c r="DA23" i="3"/>
  <c r="DC23" i="3"/>
  <c r="A24" i="3"/>
  <c r="Y24" i="3"/>
  <c r="CY24" i="3"/>
  <c r="CZ24" i="3"/>
  <c r="DA24" i="3"/>
  <c r="DB24" i="3"/>
  <c r="DC24" i="3"/>
  <c r="A25" i="3"/>
  <c r="Y25" i="3"/>
  <c r="CY25" i="3"/>
  <c r="CZ25" i="3"/>
  <c r="DB25" i="3" s="1"/>
  <c r="DA25" i="3"/>
  <c r="DC25" i="3"/>
  <c r="A26" i="3"/>
  <c r="Y26" i="3"/>
  <c r="CU26" i="3"/>
  <c r="CV26" i="3"/>
  <c r="CX26" i="3"/>
  <c r="DI26" i="3" s="1"/>
  <c r="DJ26" i="3" s="1"/>
  <c r="CY26" i="3"/>
  <c r="CZ26" i="3"/>
  <c r="DA26" i="3"/>
  <c r="DB26" i="3"/>
  <c r="DC26" i="3"/>
  <c r="DF26" i="3"/>
  <c r="A27" i="3"/>
  <c r="Y27" i="3"/>
  <c r="CX27" i="3" s="1"/>
  <c r="CU27" i="3"/>
  <c r="CY27" i="3"/>
  <c r="CZ27" i="3"/>
  <c r="DB27" i="3" s="1"/>
  <c r="DA27" i="3"/>
  <c r="DC27" i="3"/>
  <c r="A28" i="3"/>
  <c r="Y28" i="3"/>
  <c r="CU28" i="3"/>
  <c r="CV28" i="3"/>
  <c r="CX28" i="3"/>
  <c r="DI28" i="3" s="1"/>
  <c r="DJ28" i="3" s="1"/>
  <c r="CY28" i="3"/>
  <c r="CZ28" i="3"/>
  <c r="DA28" i="3"/>
  <c r="DB28" i="3"/>
  <c r="DC28" i="3"/>
  <c r="DF28" i="3"/>
  <c r="A29" i="3"/>
  <c r="Y29" i="3"/>
  <c r="CX29" i="3" s="1"/>
  <c r="CU29" i="3"/>
  <c r="CY29" i="3"/>
  <c r="CZ29" i="3"/>
  <c r="DB29" i="3" s="1"/>
  <c r="DA29" i="3"/>
  <c r="DC29" i="3"/>
  <c r="A30" i="3"/>
  <c r="Y30" i="3"/>
  <c r="CU30" i="3"/>
  <c r="CV30" i="3"/>
  <c r="CX30" i="3"/>
  <c r="DI30" i="3" s="1"/>
  <c r="DJ30" i="3" s="1"/>
  <c r="CY30" i="3"/>
  <c r="CZ30" i="3"/>
  <c r="DA30" i="3"/>
  <c r="DB30" i="3"/>
  <c r="DC30" i="3"/>
  <c r="DF30" i="3"/>
  <c r="A31" i="3"/>
  <c r="Y31" i="3"/>
  <c r="CX31" i="3" s="1"/>
  <c r="CU31" i="3"/>
  <c r="CY31" i="3"/>
  <c r="CZ31" i="3"/>
  <c r="DB31" i="3" s="1"/>
  <c r="DA31" i="3"/>
  <c r="DC31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8" i="1"/>
  <c r="D28" i="1"/>
  <c r="I28" i="1"/>
  <c r="CU1" i="3" s="1"/>
  <c r="K28" i="1"/>
  <c r="AC28" i="1"/>
  <c r="AE28" i="1"/>
  <c r="AD28" i="1" s="1"/>
  <c r="AF28" i="1"/>
  <c r="AG28" i="1"/>
  <c r="AH28" i="1"/>
  <c r="AI28" i="1"/>
  <c r="AJ28" i="1"/>
  <c r="CX28" i="1" s="1"/>
  <c r="W28" i="1" s="1"/>
  <c r="AJ30" i="1" s="1"/>
  <c r="CQ28" i="1"/>
  <c r="CR28" i="1"/>
  <c r="CS28" i="1"/>
  <c r="CT28" i="1"/>
  <c r="CU28" i="1"/>
  <c r="T28" i="1" s="1"/>
  <c r="AG30" i="1" s="1"/>
  <c r="CV28" i="1"/>
  <c r="CW28" i="1"/>
  <c r="GL28" i="1"/>
  <c r="BZ30" i="1" s="1"/>
  <c r="CI30" i="1" s="1"/>
  <c r="GN28" i="1"/>
  <c r="CB30" i="1" s="1"/>
  <c r="GP28" i="1"/>
  <c r="CD30" i="1" s="1"/>
  <c r="CD26" i="1" s="1"/>
  <c r="GV28" i="1"/>
  <c r="HC28" i="1"/>
  <c r="GX28" i="1" s="1"/>
  <c r="CJ30" i="1" s="1"/>
  <c r="B30" i="1"/>
  <c r="B26" i="1" s="1"/>
  <c r="C30" i="1"/>
  <c r="C26" i="1" s="1"/>
  <c r="D30" i="1"/>
  <c r="D26" i="1" s="1"/>
  <c r="F30" i="1"/>
  <c r="F26" i="1" s="1"/>
  <c r="G30" i="1"/>
  <c r="G26" i="1" s="1"/>
  <c r="AO30" i="1"/>
  <c r="AP30" i="1"/>
  <c r="AP26" i="1" s="1"/>
  <c r="BB30" i="1"/>
  <c r="BB26" i="1" s="1"/>
  <c r="BC30" i="1"/>
  <c r="BX30" i="1"/>
  <c r="BX26" i="1" s="1"/>
  <c r="BY30" i="1"/>
  <c r="BY26" i="1" s="1"/>
  <c r="CK30" i="1"/>
  <c r="CK26" i="1" s="1"/>
  <c r="CL30" i="1"/>
  <c r="CL26" i="1" s="1"/>
  <c r="CM30" i="1"/>
  <c r="F39" i="1"/>
  <c r="F43" i="1"/>
  <c r="D60" i="1"/>
  <c r="D62" i="1"/>
  <c r="E62" i="1"/>
  <c r="Z62" i="1"/>
  <c r="AA62" i="1"/>
  <c r="AM62" i="1"/>
  <c r="AN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CN62" i="1"/>
  <c r="CO62" i="1"/>
  <c r="CP62" i="1"/>
  <c r="CQ62" i="1"/>
  <c r="CR62" i="1"/>
  <c r="CS62" i="1"/>
  <c r="CT62" i="1"/>
  <c r="CU62" i="1"/>
  <c r="CV62" i="1"/>
  <c r="CW62" i="1"/>
  <c r="CX62" i="1"/>
  <c r="CY62" i="1"/>
  <c r="CZ62" i="1"/>
  <c r="DA62" i="1"/>
  <c r="DB62" i="1"/>
  <c r="DC62" i="1"/>
  <c r="DD62" i="1"/>
  <c r="DE62" i="1"/>
  <c r="DF62" i="1"/>
  <c r="DG62" i="1"/>
  <c r="DH62" i="1"/>
  <c r="DI62" i="1"/>
  <c r="DJ62" i="1"/>
  <c r="DK62" i="1"/>
  <c r="DL62" i="1"/>
  <c r="DM62" i="1"/>
  <c r="DN62" i="1"/>
  <c r="DO62" i="1"/>
  <c r="DP62" i="1"/>
  <c r="DQ62" i="1"/>
  <c r="DR62" i="1"/>
  <c r="DS62" i="1"/>
  <c r="DT62" i="1"/>
  <c r="DU62" i="1"/>
  <c r="DV62" i="1"/>
  <c r="DW62" i="1"/>
  <c r="DX62" i="1"/>
  <c r="DY62" i="1"/>
  <c r="DZ62" i="1"/>
  <c r="EA62" i="1"/>
  <c r="EB62" i="1"/>
  <c r="EC62" i="1"/>
  <c r="ED62" i="1"/>
  <c r="EE62" i="1"/>
  <c r="EF62" i="1"/>
  <c r="EG62" i="1"/>
  <c r="EH62" i="1"/>
  <c r="EI62" i="1"/>
  <c r="EJ62" i="1"/>
  <c r="EK62" i="1"/>
  <c r="EL62" i="1"/>
  <c r="EM62" i="1"/>
  <c r="EN62" i="1"/>
  <c r="EO62" i="1"/>
  <c r="EP62" i="1"/>
  <c r="EQ62" i="1"/>
  <c r="ER62" i="1"/>
  <c r="ES62" i="1"/>
  <c r="ET62" i="1"/>
  <c r="EU62" i="1"/>
  <c r="EV62" i="1"/>
  <c r="EW62" i="1"/>
  <c r="EX62" i="1"/>
  <c r="EY62" i="1"/>
  <c r="EZ62" i="1"/>
  <c r="FA62" i="1"/>
  <c r="FB62" i="1"/>
  <c r="FC62" i="1"/>
  <c r="FD62" i="1"/>
  <c r="FE62" i="1"/>
  <c r="FF62" i="1"/>
  <c r="FG62" i="1"/>
  <c r="FH62" i="1"/>
  <c r="FI62" i="1"/>
  <c r="FJ62" i="1"/>
  <c r="FK62" i="1"/>
  <c r="FL62" i="1"/>
  <c r="FM62" i="1"/>
  <c r="FN62" i="1"/>
  <c r="FO62" i="1"/>
  <c r="FP62" i="1"/>
  <c r="FQ62" i="1"/>
  <c r="FR62" i="1"/>
  <c r="FS62" i="1"/>
  <c r="FT62" i="1"/>
  <c r="FU62" i="1"/>
  <c r="FV62" i="1"/>
  <c r="FW62" i="1"/>
  <c r="FX62" i="1"/>
  <c r="FY62" i="1"/>
  <c r="FZ62" i="1"/>
  <c r="GA62" i="1"/>
  <c r="GB62" i="1"/>
  <c r="GC62" i="1"/>
  <c r="GD62" i="1"/>
  <c r="GE62" i="1"/>
  <c r="GF62" i="1"/>
  <c r="GG62" i="1"/>
  <c r="GH62" i="1"/>
  <c r="GI62" i="1"/>
  <c r="GJ62" i="1"/>
  <c r="GK62" i="1"/>
  <c r="GL62" i="1"/>
  <c r="GM62" i="1"/>
  <c r="GN62" i="1"/>
  <c r="GO62" i="1"/>
  <c r="GP62" i="1"/>
  <c r="GQ62" i="1"/>
  <c r="GR62" i="1"/>
  <c r="GS62" i="1"/>
  <c r="GT62" i="1"/>
  <c r="GU62" i="1"/>
  <c r="GV62" i="1"/>
  <c r="GW62" i="1"/>
  <c r="GX62" i="1"/>
  <c r="C64" i="1"/>
  <c r="D64" i="1"/>
  <c r="V64" i="1"/>
  <c r="AC64" i="1"/>
  <c r="AE64" i="1"/>
  <c r="AD64" i="1" s="1"/>
  <c r="AF64" i="1"/>
  <c r="AG64" i="1"/>
  <c r="CU64" i="1" s="1"/>
  <c r="T64" i="1" s="1"/>
  <c r="AH64" i="1"/>
  <c r="AI64" i="1"/>
  <c r="AJ64" i="1"/>
  <c r="CQ64" i="1"/>
  <c r="CR64" i="1"/>
  <c r="CS64" i="1"/>
  <c r="CT64" i="1"/>
  <c r="CV64" i="1"/>
  <c r="CW64" i="1"/>
  <c r="CX64" i="1"/>
  <c r="W64" i="1" s="1"/>
  <c r="GL64" i="1"/>
  <c r="GN64" i="1"/>
  <c r="GP64" i="1"/>
  <c r="GV64" i="1"/>
  <c r="HC64" i="1"/>
  <c r="GX64" i="1" s="1"/>
  <c r="CJ69" i="1" s="1"/>
  <c r="I65" i="1"/>
  <c r="HG65" i="1" s="1"/>
  <c r="V65" i="1"/>
  <c r="AC65" i="1"/>
  <c r="AB65" i="1" s="1"/>
  <c r="AD65" i="1"/>
  <c r="AE65" i="1"/>
  <c r="AF65" i="1"/>
  <c r="AG65" i="1"/>
  <c r="CU65" i="1" s="1"/>
  <c r="T65" i="1" s="1"/>
  <c r="AH65" i="1"/>
  <c r="CV65" i="1" s="1"/>
  <c r="AI65" i="1"/>
  <c r="CW65" i="1" s="1"/>
  <c r="AJ65" i="1"/>
  <c r="CQ65" i="1"/>
  <c r="CR65" i="1"/>
  <c r="Q65" i="1" s="1"/>
  <c r="CS65" i="1"/>
  <c r="R65" i="1" s="1"/>
  <c r="CT65" i="1"/>
  <c r="CX65" i="1"/>
  <c r="GL65" i="1"/>
  <c r="GN65" i="1"/>
  <c r="GP65" i="1"/>
  <c r="GV65" i="1"/>
  <c r="HC65" i="1" s="1"/>
  <c r="GX65" i="1"/>
  <c r="C66" i="1"/>
  <c r="D66" i="1"/>
  <c r="I66" i="1"/>
  <c r="K66" i="1"/>
  <c r="V66" i="1"/>
  <c r="AB66" i="1"/>
  <c r="AC66" i="1"/>
  <c r="AE66" i="1"/>
  <c r="AD66" i="1" s="1"/>
  <c r="AF66" i="1"/>
  <c r="AG66" i="1"/>
  <c r="CU66" i="1" s="1"/>
  <c r="T66" i="1" s="1"/>
  <c r="AH66" i="1"/>
  <c r="AI66" i="1"/>
  <c r="AJ66" i="1"/>
  <c r="CQ66" i="1"/>
  <c r="CR66" i="1"/>
  <c r="CS66" i="1"/>
  <c r="CT66" i="1"/>
  <c r="CV66" i="1"/>
  <c r="CW66" i="1"/>
  <c r="CX66" i="1"/>
  <c r="W66" i="1" s="1"/>
  <c r="GL66" i="1"/>
  <c r="GN66" i="1"/>
  <c r="GP66" i="1"/>
  <c r="GV66" i="1"/>
  <c r="HC66" i="1"/>
  <c r="GX66" i="1" s="1"/>
  <c r="C67" i="1"/>
  <c r="D67" i="1"/>
  <c r="I67" i="1"/>
  <c r="K67" i="1"/>
  <c r="AC67" i="1"/>
  <c r="AE67" i="1"/>
  <c r="AD67" i="1" s="1"/>
  <c r="AF67" i="1"/>
  <c r="AG67" i="1"/>
  <c r="CU67" i="1" s="1"/>
  <c r="T67" i="1" s="1"/>
  <c r="AH67" i="1"/>
  <c r="AI67" i="1"/>
  <c r="AJ67" i="1"/>
  <c r="CQ67" i="1"/>
  <c r="CR67" i="1"/>
  <c r="CS67" i="1"/>
  <c r="CT67" i="1"/>
  <c r="CV67" i="1"/>
  <c r="CW67" i="1"/>
  <c r="CX67" i="1"/>
  <c r="W67" i="1" s="1"/>
  <c r="GL67" i="1"/>
  <c r="GN67" i="1"/>
  <c r="GP67" i="1"/>
  <c r="GV67" i="1"/>
  <c r="HC67" i="1"/>
  <c r="GX67" i="1" s="1"/>
  <c r="B69" i="1"/>
  <c r="B62" i="1" s="1"/>
  <c r="C69" i="1"/>
  <c r="C62" i="1" s="1"/>
  <c r="D69" i="1"/>
  <c r="F69" i="1"/>
  <c r="F62" i="1" s="1"/>
  <c r="G69" i="1"/>
  <c r="G62" i="1" s="1"/>
  <c r="AO69" i="1"/>
  <c r="AO62" i="1" s="1"/>
  <c r="AP69" i="1"/>
  <c r="AP62" i="1" s="1"/>
  <c r="BB69" i="1"/>
  <c r="BB62" i="1" s="1"/>
  <c r="BC69" i="1"/>
  <c r="BC62" i="1" s="1"/>
  <c r="BX69" i="1"/>
  <c r="BX62" i="1" s="1"/>
  <c r="BY69" i="1"/>
  <c r="BY62" i="1" s="1"/>
  <c r="CB69" i="1"/>
  <c r="CB62" i="1" s="1"/>
  <c r="CK69" i="1"/>
  <c r="CK62" i="1" s="1"/>
  <c r="CL69" i="1"/>
  <c r="CL62" i="1" s="1"/>
  <c r="CM69" i="1"/>
  <c r="CM62" i="1" s="1"/>
  <c r="F78" i="1"/>
  <c r="F85" i="1"/>
  <c r="D99" i="1"/>
  <c r="B101" i="1"/>
  <c r="C101" i="1"/>
  <c r="E101" i="1"/>
  <c r="F101" i="1"/>
  <c r="Z101" i="1"/>
  <c r="AA101" i="1"/>
  <c r="AM101" i="1"/>
  <c r="AN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BU101" i="1"/>
  <c r="BV101" i="1"/>
  <c r="BW101" i="1"/>
  <c r="BX101" i="1"/>
  <c r="CN101" i="1"/>
  <c r="CO101" i="1"/>
  <c r="CP101" i="1"/>
  <c r="CQ101" i="1"/>
  <c r="CR101" i="1"/>
  <c r="CS101" i="1"/>
  <c r="CT101" i="1"/>
  <c r="CU101" i="1"/>
  <c r="CV101" i="1"/>
  <c r="CW101" i="1"/>
  <c r="CX101" i="1"/>
  <c r="CY101" i="1"/>
  <c r="CZ101" i="1"/>
  <c r="DA101" i="1"/>
  <c r="DB101" i="1"/>
  <c r="DC101" i="1"/>
  <c r="DD101" i="1"/>
  <c r="DE101" i="1"/>
  <c r="DF101" i="1"/>
  <c r="DG101" i="1"/>
  <c r="DH101" i="1"/>
  <c r="DI101" i="1"/>
  <c r="DJ101" i="1"/>
  <c r="DK101" i="1"/>
  <c r="DL101" i="1"/>
  <c r="DM101" i="1"/>
  <c r="DN101" i="1"/>
  <c r="DO101" i="1"/>
  <c r="DP101" i="1"/>
  <c r="DQ101" i="1"/>
  <c r="DR101" i="1"/>
  <c r="DS101" i="1"/>
  <c r="DT101" i="1"/>
  <c r="DU101" i="1"/>
  <c r="DV101" i="1"/>
  <c r="DW101" i="1"/>
  <c r="DX101" i="1"/>
  <c r="DY101" i="1"/>
  <c r="DZ101" i="1"/>
  <c r="EA101" i="1"/>
  <c r="EB101" i="1"/>
  <c r="EC101" i="1"/>
  <c r="ED101" i="1"/>
  <c r="EE101" i="1"/>
  <c r="EF101" i="1"/>
  <c r="EG101" i="1"/>
  <c r="EH101" i="1"/>
  <c r="EI101" i="1"/>
  <c r="EJ101" i="1"/>
  <c r="EK101" i="1"/>
  <c r="EL101" i="1"/>
  <c r="EM101" i="1"/>
  <c r="EN101" i="1"/>
  <c r="EO101" i="1"/>
  <c r="EP101" i="1"/>
  <c r="EQ101" i="1"/>
  <c r="ER101" i="1"/>
  <c r="ES101" i="1"/>
  <c r="ET101" i="1"/>
  <c r="EU101" i="1"/>
  <c r="EV101" i="1"/>
  <c r="EW101" i="1"/>
  <c r="EX101" i="1"/>
  <c r="EY101" i="1"/>
  <c r="EZ101" i="1"/>
  <c r="FA101" i="1"/>
  <c r="FB101" i="1"/>
  <c r="FC101" i="1"/>
  <c r="FD101" i="1"/>
  <c r="FE101" i="1"/>
  <c r="FF101" i="1"/>
  <c r="FG101" i="1"/>
  <c r="FH101" i="1"/>
  <c r="FI101" i="1"/>
  <c r="FJ101" i="1"/>
  <c r="FK101" i="1"/>
  <c r="FL101" i="1"/>
  <c r="FM101" i="1"/>
  <c r="FN101" i="1"/>
  <c r="FO101" i="1"/>
  <c r="FP101" i="1"/>
  <c r="FQ101" i="1"/>
  <c r="FR101" i="1"/>
  <c r="FS101" i="1"/>
  <c r="FT101" i="1"/>
  <c r="FU101" i="1"/>
  <c r="FV101" i="1"/>
  <c r="FW101" i="1"/>
  <c r="FX101" i="1"/>
  <c r="FY101" i="1"/>
  <c r="FZ101" i="1"/>
  <c r="GA101" i="1"/>
  <c r="GB101" i="1"/>
  <c r="GC101" i="1"/>
  <c r="GD101" i="1"/>
  <c r="GE101" i="1"/>
  <c r="GF101" i="1"/>
  <c r="GG101" i="1"/>
  <c r="GH101" i="1"/>
  <c r="GI101" i="1"/>
  <c r="GJ101" i="1"/>
  <c r="GK101" i="1"/>
  <c r="GL101" i="1"/>
  <c r="GM101" i="1"/>
  <c r="GN101" i="1"/>
  <c r="GO101" i="1"/>
  <c r="GP101" i="1"/>
  <c r="GQ101" i="1"/>
  <c r="GR101" i="1"/>
  <c r="GS101" i="1"/>
  <c r="GT101" i="1"/>
  <c r="GU101" i="1"/>
  <c r="GV101" i="1"/>
  <c r="GW101" i="1"/>
  <c r="GX101" i="1"/>
  <c r="C103" i="1"/>
  <c r="D103" i="1"/>
  <c r="I103" i="1"/>
  <c r="K103" i="1"/>
  <c r="V103" i="1"/>
  <c r="AC103" i="1"/>
  <c r="AE103" i="1"/>
  <c r="AD103" i="1" s="1"/>
  <c r="AF103" i="1"/>
  <c r="AG103" i="1"/>
  <c r="CU103" i="1" s="1"/>
  <c r="T103" i="1" s="1"/>
  <c r="AG108" i="1" s="1"/>
  <c r="AH103" i="1"/>
  <c r="AI103" i="1"/>
  <c r="AJ103" i="1"/>
  <c r="CQ103" i="1"/>
  <c r="CR103" i="1"/>
  <c r="CS103" i="1"/>
  <c r="CT103" i="1"/>
  <c r="CV103" i="1"/>
  <c r="CW103" i="1"/>
  <c r="CX103" i="1"/>
  <c r="W103" i="1" s="1"/>
  <c r="GL103" i="1"/>
  <c r="GN103" i="1"/>
  <c r="GO103" i="1"/>
  <c r="GV103" i="1"/>
  <c r="HC103" i="1" s="1"/>
  <c r="GX103" i="1" s="1"/>
  <c r="C104" i="1"/>
  <c r="D104" i="1"/>
  <c r="V104" i="1"/>
  <c r="AC104" i="1"/>
  <c r="AD104" i="1"/>
  <c r="AE104" i="1"/>
  <c r="AF104" i="1"/>
  <c r="AG104" i="1"/>
  <c r="AH104" i="1"/>
  <c r="AI104" i="1"/>
  <c r="AJ104" i="1"/>
  <c r="CX104" i="1" s="1"/>
  <c r="W104" i="1" s="1"/>
  <c r="CQ104" i="1"/>
  <c r="CR104" i="1"/>
  <c r="CS104" i="1"/>
  <c r="CT104" i="1"/>
  <c r="CU104" i="1"/>
  <c r="T104" i="1" s="1"/>
  <c r="CV104" i="1"/>
  <c r="CW104" i="1"/>
  <c r="GL104" i="1"/>
  <c r="GN104" i="1"/>
  <c r="GO104" i="1"/>
  <c r="GV104" i="1"/>
  <c r="HC104" i="1" s="1"/>
  <c r="GX104" i="1" s="1"/>
  <c r="C105" i="1"/>
  <c r="D105" i="1"/>
  <c r="T105" i="1"/>
  <c r="V105" i="1"/>
  <c r="AC105" i="1"/>
  <c r="AD105" i="1"/>
  <c r="AE105" i="1"/>
  <c r="AF105" i="1"/>
  <c r="AG105" i="1"/>
  <c r="AH105" i="1"/>
  <c r="AI105" i="1"/>
  <c r="AJ105" i="1"/>
  <c r="CX105" i="1" s="1"/>
  <c r="W105" i="1" s="1"/>
  <c r="CQ105" i="1"/>
  <c r="CR105" i="1"/>
  <c r="CS105" i="1"/>
  <c r="CT105" i="1"/>
  <c r="CU105" i="1"/>
  <c r="CV105" i="1"/>
  <c r="CW105" i="1"/>
  <c r="GL105" i="1"/>
  <c r="GN105" i="1"/>
  <c r="GO105" i="1"/>
  <c r="CC108" i="1" s="1"/>
  <c r="CC101" i="1" s="1"/>
  <c r="GV105" i="1"/>
  <c r="HC105" i="1" s="1"/>
  <c r="GX105" i="1" s="1"/>
  <c r="C106" i="1"/>
  <c r="D106" i="1"/>
  <c r="V106" i="1"/>
  <c r="W106" i="1"/>
  <c r="AC106" i="1"/>
  <c r="AB106" i="1" s="1"/>
  <c r="AD106" i="1"/>
  <c r="AE106" i="1"/>
  <c r="AF106" i="1"/>
  <c r="AG106" i="1"/>
  <c r="AH106" i="1"/>
  <c r="AI106" i="1"/>
  <c r="AJ106" i="1"/>
  <c r="CX106" i="1" s="1"/>
  <c r="CQ106" i="1"/>
  <c r="CR106" i="1"/>
  <c r="CS106" i="1"/>
  <c r="CT106" i="1"/>
  <c r="CU106" i="1"/>
  <c r="T106" i="1" s="1"/>
  <c r="CV106" i="1"/>
  <c r="CW106" i="1"/>
  <c r="GL106" i="1"/>
  <c r="GN106" i="1"/>
  <c r="GO106" i="1"/>
  <c r="GV106" i="1"/>
  <c r="GX106" i="1"/>
  <c r="HC106" i="1"/>
  <c r="B108" i="1"/>
  <c r="C108" i="1"/>
  <c r="D108" i="1"/>
  <c r="D101" i="1" s="1"/>
  <c r="F108" i="1"/>
  <c r="G108" i="1"/>
  <c r="G101" i="1" s="1"/>
  <c r="AO108" i="1"/>
  <c r="F112" i="1" s="1"/>
  <c r="BB108" i="1"/>
  <c r="F121" i="1" s="1"/>
  <c r="BX108" i="1"/>
  <c r="BY108" i="1"/>
  <c r="CK108" i="1"/>
  <c r="CK101" i="1" s="1"/>
  <c r="CL108" i="1"/>
  <c r="BC108" i="1" s="1"/>
  <c r="CM108" i="1"/>
  <c r="BD108" i="1" s="1"/>
  <c r="B138" i="1"/>
  <c r="B22" i="1" s="1"/>
  <c r="C138" i="1"/>
  <c r="C22" i="1" s="1"/>
  <c r="D138" i="1"/>
  <c r="D22" i="1" s="1"/>
  <c r="F138" i="1"/>
  <c r="F22" i="1" s="1"/>
  <c r="G138" i="1"/>
  <c r="G22" i="1" s="1"/>
  <c r="AO138" i="1"/>
  <c r="AO22" i="1" s="1"/>
  <c r="BB138" i="1"/>
  <c r="BB22" i="1" s="1"/>
  <c r="F142" i="1"/>
  <c r="F151" i="1"/>
  <c r="B168" i="1"/>
  <c r="B18" i="1" s="1"/>
  <c r="C168" i="1"/>
  <c r="C18" i="1" s="1"/>
  <c r="D168" i="1"/>
  <c r="D18" i="1" s="1"/>
  <c r="F168" i="1"/>
  <c r="F18" i="1" s="1"/>
  <c r="G168" i="1"/>
  <c r="G18" i="1" s="1"/>
  <c r="F12" i="6"/>
  <c r="G12" i="6"/>
  <c r="CD69" i="1" l="1"/>
  <c r="CD62" i="1" s="1"/>
  <c r="AB64" i="1"/>
  <c r="L164" i="7"/>
  <c r="L162" i="7" s="1"/>
  <c r="L147" i="7"/>
  <c r="L118" i="7"/>
  <c r="AR193" i="7"/>
  <c r="L331" i="7" s="1"/>
  <c r="L312" i="7"/>
  <c r="L216" i="7"/>
  <c r="AR211" i="7"/>
  <c r="L208" i="7" s="1"/>
  <c r="L179" i="7"/>
  <c r="L340" i="7"/>
  <c r="L338" i="7" s="1"/>
  <c r="L289" i="7"/>
  <c r="L287" i="7" s="1"/>
  <c r="L81" i="7"/>
  <c r="L280" i="7"/>
  <c r="L93" i="7"/>
  <c r="L74" i="7"/>
  <c r="L292" i="7"/>
  <c r="K40" i="7"/>
  <c r="L336" i="7"/>
  <c r="L285" i="7"/>
  <c r="L86" i="7"/>
  <c r="L156" i="7"/>
  <c r="L190" i="7"/>
  <c r="L283" i="7"/>
  <c r="L334" i="7"/>
  <c r="L84" i="7"/>
  <c r="L73" i="7"/>
  <c r="L167" i="7"/>
  <c r="L155" i="7"/>
  <c r="L120" i="7"/>
  <c r="CB108" i="1"/>
  <c r="CB101" i="1" s="1"/>
  <c r="BZ108" i="1"/>
  <c r="AQ108" i="1" s="1"/>
  <c r="AI108" i="1"/>
  <c r="V108" i="1" s="1"/>
  <c r="V101" i="1" s="1"/>
  <c r="AB104" i="1"/>
  <c r="AB105" i="1"/>
  <c r="BZ69" i="1"/>
  <c r="BZ62" i="1" s="1"/>
  <c r="AU30" i="1"/>
  <c r="AB103" i="1"/>
  <c r="AJ108" i="1"/>
  <c r="CI69" i="1"/>
  <c r="AQ69" i="1"/>
  <c r="AZ30" i="1"/>
  <c r="CI26" i="1"/>
  <c r="AG69" i="1"/>
  <c r="BD101" i="1"/>
  <c r="F133" i="1"/>
  <c r="CJ108" i="1"/>
  <c r="F124" i="1"/>
  <c r="BC101" i="1"/>
  <c r="BC138" i="1"/>
  <c r="AJ69" i="1"/>
  <c r="BA69" i="1"/>
  <c r="CJ62" i="1"/>
  <c r="T108" i="1"/>
  <c r="AG101" i="1"/>
  <c r="BB168" i="1"/>
  <c r="BB101" i="1"/>
  <c r="F82" i="1"/>
  <c r="CW19" i="3"/>
  <c r="V67" i="1" s="1"/>
  <c r="CX23" i="3"/>
  <c r="CX19" i="3"/>
  <c r="CU17" i="3"/>
  <c r="S65" i="1"/>
  <c r="CJ26" i="1"/>
  <c r="BA30" i="1"/>
  <c r="AO168" i="1"/>
  <c r="AT108" i="1"/>
  <c r="F73" i="1"/>
  <c r="BD69" i="1"/>
  <c r="P65" i="1"/>
  <c r="CP65" i="1" s="1"/>
  <c r="O65" i="1" s="1"/>
  <c r="AG26" i="1"/>
  <c r="T30" i="1"/>
  <c r="CM101" i="1"/>
  <c r="BY101" i="1"/>
  <c r="AB67" i="1"/>
  <c r="CL101" i="1"/>
  <c r="AP108" i="1"/>
  <c r="CU24" i="3"/>
  <c r="CV24" i="3"/>
  <c r="U103" i="1" s="1"/>
  <c r="G186" i="7" s="1"/>
  <c r="CX24" i="3"/>
  <c r="CU25" i="3"/>
  <c r="AS69" i="1"/>
  <c r="U65" i="1"/>
  <c r="CM26" i="1"/>
  <c r="BD30" i="1"/>
  <c r="BZ26" i="1"/>
  <c r="AQ30" i="1"/>
  <c r="CG30" i="1"/>
  <c r="AO101" i="1"/>
  <c r="W65" i="1"/>
  <c r="CV16" i="3"/>
  <c r="U66" i="1" s="1"/>
  <c r="G126" i="7" s="1"/>
  <c r="CX16" i="3"/>
  <c r="CU16" i="3"/>
  <c r="W30" i="1"/>
  <c r="AJ26" i="1"/>
  <c r="CW20" i="3"/>
  <c r="CX18" i="3"/>
  <c r="CV17" i="3"/>
  <c r="U67" i="1" s="1"/>
  <c r="G135" i="7" s="1"/>
  <c r="DF11" i="3"/>
  <c r="P64" i="1" s="1"/>
  <c r="DG11" i="3"/>
  <c r="Q64" i="1" s="1"/>
  <c r="DH11" i="3"/>
  <c r="DI11" i="3"/>
  <c r="AO26" i="1"/>
  <c r="F34" i="1"/>
  <c r="AB28" i="1"/>
  <c r="DH15" i="3"/>
  <c r="DI15" i="3"/>
  <c r="DF15" i="3"/>
  <c r="DJ15" i="3" s="1"/>
  <c r="DG15" i="3"/>
  <c r="DI10" i="3"/>
  <c r="DF10" i="3"/>
  <c r="DJ10" i="3" s="1"/>
  <c r="DG10" i="3"/>
  <c r="DH10" i="3"/>
  <c r="CX25" i="3"/>
  <c r="DI14" i="3"/>
  <c r="DF14" i="3"/>
  <c r="DJ14" i="3" s="1"/>
  <c r="DG14" i="3"/>
  <c r="DH14" i="3"/>
  <c r="DF9" i="3"/>
  <c r="DJ9" i="3" s="1"/>
  <c r="DG9" i="3"/>
  <c r="DH9" i="3"/>
  <c r="DI9" i="3"/>
  <c r="CB26" i="1"/>
  <c r="AS30" i="1"/>
  <c r="BC26" i="1"/>
  <c r="F46" i="1"/>
  <c r="DF31" i="3"/>
  <c r="P106" i="1" s="1"/>
  <c r="DG31" i="3"/>
  <c r="DH31" i="3"/>
  <c r="DI31" i="3"/>
  <c r="DF29" i="3"/>
  <c r="P105" i="1" s="1"/>
  <c r="DG29" i="3"/>
  <c r="DH29" i="3"/>
  <c r="DI29" i="3"/>
  <c r="DF27" i="3"/>
  <c r="P104" i="1" s="1"/>
  <c r="DG27" i="3"/>
  <c r="DH27" i="3"/>
  <c r="DI27" i="3"/>
  <c r="CX22" i="3"/>
  <c r="DF13" i="3"/>
  <c r="DJ13" i="3" s="1"/>
  <c r="DG13" i="3"/>
  <c r="DH13" i="3"/>
  <c r="DI13" i="3"/>
  <c r="CX21" i="3"/>
  <c r="DI2" i="3"/>
  <c r="DJ2" i="3" s="1"/>
  <c r="DF2" i="3"/>
  <c r="DG2" i="3"/>
  <c r="DH2" i="3"/>
  <c r="CV31" i="3"/>
  <c r="U106" i="1" s="1"/>
  <c r="G213" i="7" s="1"/>
  <c r="DH30" i="3"/>
  <c r="CV29" i="3"/>
  <c r="U105" i="1" s="1"/>
  <c r="G204" i="7" s="1"/>
  <c r="DH28" i="3"/>
  <c r="CV27" i="3"/>
  <c r="U104" i="1" s="1"/>
  <c r="G195" i="7" s="1"/>
  <c r="DH26" i="3"/>
  <c r="R104" i="1" s="1"/>
  <c r="CV25" i="3"/>
  <c r="CV11" i="3"/>
  <c r="U64" i="1" s="1"/>
  <c r="G112" i="7" s="1"/>
  <c r="CX6" i="3"/>
  <c r="CX3" i="3"/>
  <c r="DG30" i="3"/>
  <c r="Q106" i="1" s="1"/>
  <c r="DG28" i="3"/>
  <c r="Q105" i="1" s="1"/>
  <c r="DG26" i="3"/>
  <c r="CX17" i="3"/>
  <c r="DI12" i="3"/>
  <c r="CX20" i="3"/>
  <c r="DH12" i="3"/>
  <c r="CX5" i="3"/>
  <c r="CX1" i="3"/>
  <c r="CX8" i="3"/>
  <c r="CX4" i="3"/>
  <c r="CV1" i="3"/>
  <c r="U28" i="1" s="1"/>
  <c r="CX7" i="3"/>
  <c r="CW4" i="3"/>
  <c r="V28" i="1" s="1"/>
  <c r="AI30" i="1" l="1"/>
  <c r="G61" i="7"/>
  <c r="AS108" i="1"/>
  <c r="AU69" i="1"/>
  <c r="AU62" i="1" s="1"/>
  <c r="AH30" i="1"/>
  <c r="G58" i="7"/>
  <c r="AI69" i="1"/>
  <c r="G138" i="7"/>
  <c r="L281" i="7"/>
  <c r="L224" i="7"/>
  <c r="L222" i="7" s="1"/>
  <c r="L323" i="7"/>
  <c r="L311" i="7"/>
  <c r="L309" i="7" s="1"/>
  <c r="L236" i="7"/>
  <c r="L343" i="7"/>
  <c r="K39" i="7"/>
  <c r="L153" i="7"/>
  <c r="L82" i="7"/>
  <c r="L79" i="7" s="1"/>
  <c r="L332" i="7"/>
  <c r="L329" i="7" s="1"/>
  <c r="L278" i="7"/>
  <c r="CG108" i="1"/>
  <c r="CG69" i="1"/>
  <c r="AX69" i="1" s="1"/>
  <c r="BZ101" i="1"/>
  <c r="AI101" i="1"/>
  <c r="F131" i="1"/>
  <c r="G251" i="7" s="1"/>
  <c r="CI108" i="1"/>
  <c r="AU26" i="1"/>
  <c r="F49" i="1"/>
  <c r="AH108" i="1"/>
  <c r="U108" i="1" s="1"/>
  <c r="F88" i="1"/>
  <c r="AI26" i="1"/>
  <c r="V30" i="1"/>
  <c r="AI62" i="1"/>
  <c r="V69" i="1"/>
  <c r="F47" i="1"/>
  <c r="AS26" i="1"/>
  <c r="AS138" i="1"/>
  <c r="W26" i="1"/>
  <c r="F54" i="1"/>
  <c r="F86" i="1"/>
  <c r="AS62" i="1"/>
  <c r="DF8" i="3"/>
  <c r="DJ8" i="3" s="1"/>
  <c r="DG8" i="3"/>
  <c r="DH8" i="3"/>
  <c r="DI8" i="3"/>
  <c r="DH17" i="3"/>
  <c r="DI17" i="3"/>
  <c r="DF17" i="3"/>
  <c r="DG17" i="3"/>
  <c r="R106" i="1"/>
  <c r="DJ27" i="3"/>
  <c r="S104" i="1"/>
  <c r="DF25" i="3"/>
  <c r="DG25" i="3"/>
  <c r="DH25" i="3"/>
  <c r="DI25" i="3"/>
  <c r="DJ25" i="3" s="1"/>
  <c r="DJ11" i="3"/>
  <c r="S64" i="1"/>
  <c r="BD26" i="1"/>
  <c r="F55" i="1"/>
  <c r="BD138" i="1"/>
  <c r="AZ26" i="1"/>
  <c r="F41" i="1"/>
  <c r="DF1" i="3"/>
  <c r="DG1" i="3"/>
  <c r="Q28" i="1" s="1"/>
  <c r="AD30" i="1" s="1"/>
  <c r="DH1" i="3"/>
  <c r="DI1" i="3"/>
  <c r="Q104" i="1"/>
  <c r="R64" i="1"/>
  <c r="DI24" i="3"/>
  <c r="DF24" i="3"/>
  <c r="P103" i="1" s="1"/>
  <c r="DG24" i="3"/>
  <c r="DH24" i="3"/>
  <c r="CY65" i="1"/>
  <c r="X65" i="1" s="1"/>
  <c r="CZ65" i="1"/>
  <c r="Y65" i="1" s="1"/>
  <c r="BA62" i="1"/>
  <c r="F89" i="1"/>
  <c r="CJ101" i="1"/>
  <c r="BA108" i="1"/>
  <c r="AQ62" i="1"/>
  <c r="F79" i="1"/>
  <c r="BB18" i="1"/>
  <c r="F181" i="1"/>
  <c r="AJ62" i="1"/>
  <c r="W69" i="1"/>
  <c r="CI62" i="1"/>
  <c r="AZ69" i="1"/>
  <c r="DF19" i="3"/>
  <c r="DG19" i="3"/>
  <c r="DJ19" i="3" s="1"/>
  <c r="DH19" i="3"/>
  <c r="DI19" i="3"/>
  <c r="F118" i="1"/>
  <c r="AQ101" i="1"/>
  <c r="BC22" i="1"/>
  <c r="F154" i="1"/>
  <c r="BC168" i="1"/>
  <c r="DI5" i="3"/>
  <c r="DF5" i="3"/>
  <c r="DG5" i="3"/>
  <c r="DH5" i="3"/>
  <c r="DF7" i="3"/>
  <c r="DJ7" i="3" s="1"/>
  <c r="DG7" i="3"/>
  <c r="DH7" i="3"/>
  <c r="DI7" i="3"/>
  <c r="CG26" i="1"/>
  <c r="AX30" i="1"/>
  <c r="AT101" i="1"/>
  <c r="F126" i="1"/>
  <c r="AH26" i="1"/>
  <c r="U30" i="1"/>
  <c r="DI20" i="3"/>
  <c r="DF20" i="3"/>
  <c r="DG20" i="3"/>
  <c r="DH20" i="3"/>
  <c r="DG3" i="3"/>
  <c r="DH3" i="3"/>
  <c r="DI3" i="3"/>
  <c r="DF3" i="3"/>
  <c r="R105" i="1"/>
  <c r="DJ29" i="3"/>
  <c r="S105" i="1"/>
  <c r="DF16" i="3"/>
  <c r="P66" i="1" s="1"/>
  <c r="DG16" i="3"/>
  <c r="Q66" i="1" s="1"/>
  <c r="DH16" i="3"/>
  <c r="R66" i="1" s="1"/>
  <c r="DI16" i="3"/>
  <c r="AQ26" i="1"/>
  <c r="F40" i="1"/>
  <c r="AQ138" i="1"/>
  <c r="CG62" i="1"/>
  <c r="AP138" i="1"/>
  <c r="AP101" i="1"/>
  <c r="F117" i="1"/>
  <c r="AO18" i="1"/>
  <c r="F172" i="1"/>
  <c r="DF23" i="3"/>
  <c r="DJ23" i="3" s="1"/>
  <c r="DG23" i="3"/>
  <c r="DH23" i="3"/>
  <c r="DI23" i="3"/>
  <c r="AX108" i="1"/>
  <c r="CG101" i="1"/>
  <c r="AG62" i="1"/>
  <c r="T69" i="1"/>
  <c r="W108" i="1"/>
  <c r="AJ101" i="1"/>
  <c r="AH101" i="1"/>
  <c r="DF4" i="3"/>
  <c r="DG4" i="3"/>
  <c r="DH4" i="3"/>
  <c r="DI4" i="3"/>
  <c r="DG18" i="3"/>
  <c r="DH18" i="3"/>
  <c r="DI18" i="3"/>
  <c r="DJ18" i="3" s="1"/>
  <c r="DF18" i="3"/>
  <c r="DJ31" i="3"/>
  <c r="S106" i="1"/>
  <c r="T26" i="1"/>
  <c r="F51" i="1"/>
  <c r="T138" i="1"/>
  <c r="DG6" i="3"/>
  <c r="DH6" i="3"/>
  <c r="DI6" i="3"/>
  <c r="DF6" i="3"/>
  <c r="DG22" i="3"/>
  <c r="DH22" i="3"/>
  <c r="DI22" i="3"/>
  <c r="DF22" i="3"/>
  <c r="DJ22" i="3" s="1"/>
  <c r="GM65" i="1"/>
  <c r="GO65" i="1" s="1"/>
  <c r="BA26" i="1"/>
  <c r="F50" i="1"/>
  <c r="BA138" i="1"/>
  <c r="T101" i="1"/>
  <c r="F129" i="1"/>
  <c r="AH69" i="1"/>
  <c r="DH21" i="3"/>
  <c r="DI21" i="3"/>
  <c r="DF21" i="3"/>
  <c r="DJ21" i="3" s="1"/>
  <c r="DG21" i="3"/>
  <c r="BD62" i="1"/>
  <c r="F94" i="1"/>
  <c r="AS101" i="1"/>
  <c r="F125" i="1"/>
  <c r="CP64" i="1" l="1"/>
  <c r="O64" i="1" s="1"/>
  <c r="CP104" i="1"/>
  <c r="O104" i="1" s="1"/>
  <c r="CI101" i="1"/>
  <c r="AZ108" i="1"/>
  <c r="AZ138" i="1" s="1"/>
  <c r="F130" i="1"/>
  <c r="G250" i="7" s="1"/>
  <c r="U101" i="1"/>
  <c r="F52" i="1"/>
  <c r="G107" i="7" s="1"/>
  <c r="U26" i="1"/>
  <c r="CY106" i="1"/>
  <c r="X106" i="1" s="1"/>
  <c r="AZ220" i="7" s="1"/>
  <c r="L218" i="7" s="1"/>
  <c r="CZ106" i="1"/>
  <c r="Y106" i="1" s="1"/>
  <c r="BA220" i="7" s="1"/>
  <c r="L219" i="7" s="1"/>
  <c r="CZ105" i="1"/>
  <c r="Y105" i="1" s="1"/>
  <c r="BA211" i="7" s="1"/>
  <c r="L210" i="7" s="1"/>
  <c r="CY105" i="1"/>
  <c r="X105" i="1" s="1"/>
  <c r="AZ211" i="7" s="1"/>
  <c r="L209" i="7" s="1"/>
  <c r="DJ24" i="3"/>
  <c r="S103" i="1"/>
  <c r="F80" i="1"/>
  <c r="AZ62" i="1"/>
  <c r="DJ17" i="3"/>
  <c r="S67" i="1"/>
  <c r="T22" i="1"/>
  <c r="F159" i="1"/>
  <c r="T168" i="1"/>
  <c r="DJ4" i="3"/>
  <c r="T62" i="1"/>
  <c r="F90" i="1"/>
  <c r="AP22" i="1"/>
  <c r="AP168" i="1"/>
  <c r="F147" i="1"/>
  <c r="G16" i="2" s="1"/>
  <c r="DJ20" i="3"/>
  <c r="CP105" i="1"/>
  <c r="O105" i="1" s="1"/>
  <c r="CZ64" i="1"/>
  <c r="Y64" i="1" s="1"/>
  <c r="BA123" i="7" s="1"/>
  <c r="CY64" i="1"/>
  <c r="X64" i="1" s="1"/>
  <c r="R67" i="1"/>
  <c r="AE69" i="1" s="1"/>
  <c r="V26" i="1"/>
  <c r="F53" i="1"/>
  <c r="G108" i="7" s="1"/>
  <c r="V138" i="1"/>
  <c r="AX62" i="1"/>
  <c r="F76" i="1"/>
  <c r="AX26" i="1"/>
  <c r="F37" i="1"/>
  <c r="AX138" i="1"/>
  <c r="F93" i="1"/>
  <c r="W62" i="1"/>
  <c r="R103" i="1"/>
  <c r="AE108" i="1" s="1"/>
  <c r="CP106" i="1"/>
  <c r="O106" i="1" s="1"/>
  <c r="AS22" i="1"/>
  <c r="F155" i="1"/>
  <c r="AS168" i="1"/>
  <c r="BC18" i="1"/>
  <c r="F184" i="1"/>
  <c r="Q103" i="1"/>
  <c r="AD108" i="1" s="1"/>
  <c r="DJ1" i="3"/>
  <c r="S28" i="1"/>
  <c r="AH62" i="1"/>
  <c r="U69" i="1"/>
  <c r="R28" i="1"/>
  <c r="AE30" i="1" s="1"/>
  <c r="BD22" i="1"/>
  <c r="BD168" i="1"/>
  <c r="F163" i="1"/>
  <c r="Q67" i="1"/>
  <c r="AD69" i="1" s="1"/>
  <c r="AQ22" i="1"/>
  <c r="AQ168" i="1"/>
  <c r="F148" i="1"/>
  <c r="P67" i="1"/>
  <c r="V62" i="1"/>
  <c r="F92" i="1"/>
  <c r="G182" i="7" s="1"/>
  <c r="DJ3" i="3"/>
  <c r="DJ6" i="3"/>
  <c r="Q30" i="1"/>
  <c r="AD26" i="1"/>
  <c r="AX101" i="1"/>
  <c r="F115" i="1"/>
  <c r="AC108" i="1"/>
  <c r="W101" i="1"/>
  <c r="F132" i="1"/>
  <c r="DJ5" i="3"/>
  <c r="P28" i="1"/>
  <c r="W138" i="1"/>
  <c r="BA22" i="1"/>
  <c r="F158" i="1"/>
  <c r="BA168" i="1"/>
  <c r="DJ16" i="3"/>
  <c r="S66" i="1"/>
  <c r="CY104" i="1"/>
  <c r="X104" i="1" s="1"/>
  <c r="AZ202" i="7" s="1"/>
  <c r="L200" i="7" s="1"/>
  <c r="CZ104" i="1"/>
  <c r="Y104" i="1" s="1"/>
  <c r="BA202" i="7" s="1"/>
  <c r="L201" i="7" s="1"/>
  <c r="F128" i="1"/>
  <c r="BA101" i="1"/>
  <c r="L122" i="7" l="1"/>
  <c r="K211" i="7"/>
  <c r="AN211" i="7"/>
  <c r="AN202" i="7"/>
  <c r="K202" i="7"/>
  <c r="E16" i="2"/>
  <c r="C41" i="7"/>
  <c r="AN220" i="7"/>
  <c r="K220" i="7"/>
  <c r="GM106" i="1"/>
  <c r="GP106" i="1" s="1"/>
  <c r="GM64" i="1"/>
  <c r="AZ123" i="7"/>
  <c r="AF69" i="1"/>
  <c r="F119" i="1"/>
  <c r="AZ101" i="1"/>
  <c r="CP67" i="1"/>
  <c r="O67" i="1" s="1"/>
  <c r="GM104" i="1"/>
  <c r="GP104" i="1" s="1"/>
  <c r="CP103" i="1"/>
  <c r="O103" i="1" s="1"/>
  <c r="AB108" i="1" s="1"/>
  <c r="AE62" i="1"/>
  <c r="R69" i="1"/>
  <c r="AF62" i="1"/>
  <c r="S69" i="1"/>
  <c r="CH108" i="1"/>
  <c r="CE108" i="1"/>
  <c r="P108" i="1"/>
  <c r="AC101" i="1"/>
  <c r="CF108" i="1"/>
  <c r="AX22" i="1"/>
  <c r="AX168" i="1"/>
  <c r="F145" i="1"/>
  <c r="AZ22" i="1"/>
  <c r="F149" i="1"/>
  <c r="AZ168" i="1"/>
  <c r="CZ67" i="1"/>
  <c r="Y67" i="1" s="1"/>
  <c r="BA151" i="7" s="1"/>
  <c r="L150" i="7" s="1"/>
  <c r="CY67" i="1"/>
  <c r="X67" i="1" s="1"/>
  <c r="AZ151" i="7" s="1"/>
  <c r="L149" i="7" s="1"/>
  <c r="AC30" i="1"/>
  <c r="CP28" i="1"/>
  <c r="O28" i="1" s="1"/>
  <c r="Q26" i="1"/>
  <c r="F42" i="1"/>
  <c r="BD18" i="1"/>
  <c r="F193" i="1"/>
  <c r="GM105" i="1"/>
  <c r="GP105" i="1" s="1"/>
  <c r="CP66" i="1"/>
  <c r="O66" i="1" s="1"/>
  <c r="BA18" i="1"/>
  <c r="F188" i="1"/>
  <c r="AE26" i="1"/>
  <c r="R30" i="1"/>
  <c r="R108" i="1"/>
  <c r="AE101" i="1"/>
  <c r="T18" i="1"/>
  <c r="F189" i="1"/>
  <c r="U62" i="1"/>
  <c r="F91" i="1"/>
  <c r="G181" i="7" s="1"/>
  <c r="AP18" i="1"/>
  <c r="F177" i="1"/>
  <c r="AC69" i="1"/>
  <c r="Q69" i="1"/>
  <c r="Q138" i="1" s="1"/>
  <c r="AD62" i="1"/>
  <c r="AS18" i="1"/>
  <c r="F185" i="1"/>
  <c r="V22" i="1"/>
  <c r="V168" i="1"/>
  <c r="F161" i="1"/>
  <c r="CY103" i="1"/>
  <c r="X103" i="1" s="1"/>
  <c r="CZ103" i="1"/>
  <c r="Y103" i="1" s="1"/>
  <c r="AF108" i="1"/>
  <c r="U138" i="1"/>
  <c r="W22" i="1"/>
  <c r="F162" i="1"/>
  <c r="W168" i="1"/>
  <c r="CZ28" i="1"/>
  <c r="Y28" i="1" s="1"/>
  <c r="CY28" i="1"/>
  <c r="X28" i="1" s="1"/>
  <c r="AF30" i="1"/>
  <c r="Q108" i="1"/>
  <c r="AD101" i="1"/>
  <c r="CZ66" i="1"/>
  <c r="Y66" i="1" s="1"/>
  <c r="CY66" i="1"/>
  <c r="X66" i="1" s="1"/>
  <c r="AQ18" i="1"/>
  <c r="F178" i="1"/>
  <c r="GO64" i="1"/>
  <c r="AK108" i="1" l="1"/>
  <c r="X108" i="1" s="1"/>
  <c r="AZ193" i="7"/>
  <c r="AK69" i="1"/>
  <c r="AZ132" i="7"/>
  <c r="L130" i="7" s="1"/>
  <c r="AL30" i="1"/>
  <c r="Y30" i="1" s="1"/>
  <c r="BA77" i="7"/>
  <c r="AL108" i="1"/>
  <c r="AL101" i="1" s="1"/>
  <c r="BA193" i="7"/>
  <c r="K151" i="7"/>
  <c r="I151" i="7" s="1"/>
  <c r="AN151" i="7"/>
  <c r="I202" i="7"/>
  <c r="BW202" i="7"/>
  <c r="BX202" i="7" s="1"/>
  <c r="BT202" i="7"/>
  <c r="BW220" i="7"/>
  <c r="BX220" i="7" s="1"/>
  <c r="BT220" i="7"/>
  <c r="I220" i="7"/>
  <c r="I211" i="7"/>
  <c r="BT211" i="7"/>
  <c r="BW211" i="7"/>
  <c r="BX211" i="7" s="1"/>
  <c r="K42" i="7"/>
  <c r="G355" i="7"/>
  <c r="AL69" i="1"/>
  <c r="AL62" i="1" s="1"/>
  <c r="BA132" i="7"/>
  <c r="AK30" i="1"/>
  <c r="AK26" i="1" s="1"/>
  <c r="AZ77" i="7"/>
  <c r="L121" i="7"/>
  <c r="L168" i="7"/>
  <c r="GM67" i="1"/>
  <c r="GO67" i="1" s="1"/>
  <c r="AK62" i="1"/>
  <c r="X69" i="1"/>
  <c r="AF26" i="1"/>
  <c r="S30" i="1"/>
  <c r="AC62" i="1"/>
  <c r="CE69" i="1"/>
  <c r="CF69" i="1"/>
  <c r="CH69" i="1"/>
  <c r="P69" i="1"/>
  <c r="Q22" i="1"/>
  <c r="F150" i="1"/>
  <c r="Q168" i="1"/>
  <c r="CH101" i="1"/>
  <c r="AY108" i="1"/>
  <c r="X30" i="1"/>
  <c r="AF101" i="1"/>
  <c r="S108" i="1"/>
  <c r="AZ18" i="1"/>
  <c r="F179" i="1"/>
  <c r="S62" i="1"/>
  <c r="F84" i="1"/>
  <c r="Y108" i="1"/>
  <c r="GM66" i="1"/>
  <c r="AB69" i="1"/>
  <c r="O108" i="1"/>
  <c r="AB101" i="1"/>
  <c r="AK101" i="1"/>
  <c r="R101" i="1"/>
  <c r="F122" i="1"/>
  <c r="GM28" i="1"/>
  <c r="AB30" i="1"/>
  <c r="F83" i="1"/>
  <c r="R62" i="1"/>
  <c r="GM103" i="1"/>
  <c r="R26" i="1"/>
  <c r="F44" i="1"/>
  <c r="R138" i="1"/>
  <c r="AC26" i="1"/>
  <c r="CE30" i="1"/>
  <c r="CH30" i="1"/>
  <c r="P30" i="1"/>
  <c r="CF30" i="1"/>
  <c r="F111" i="1"/>
  <c r="P101" i="1"/>
  <c r="F120" i="1"/>
  <c r="Q101" i="1"/>
  <c r="Q62" i="1"/>
  <c r="F81" i="1"/>
  <c r="AX18" i="1"/>
  <c r="F175" i="1"/>
  <c r="AV108" i="1"/>
  <c r="CE101" i="1"/>
  <c r="U22" i="1"/>
  <c r="F160" i="1"/>
  <c r="U168" i="1"/>
  <c r="V18" i="1"/>
  <c r="F191" i="1"/>
  <c r="AL26" i="1"/>
  <c r="AW108" i="1"/>
  <c r="CF101" i="1"/>
  <c r="W18" i="1"/>
  <c r="F192" i="1"/>
  <c r="L94" i="7" l="1"/>
  <c r="L344" i="7"/>
  <c r="L293" i="7"/>
  <c r="L75" i="7"/>
  <c r="L325" i="7"/>
  <c r="L238" i="7"/>
  <c r="L192" i="7"/>
  <c r="L191" i="7"/>
  <c r="L324" i="7"/>
  <c r="L237" i="7"/>
  <c r="L246" i="7" s="1"/>
  <c r="Y69" i="1"/>
  <c r="F96" i="1" s="1"/>
  <c r="L131" i="7"/>
  <c r="L169" i="7"/>
  <c r="L95" i="7"/>
  <c r="L345" i="7"/>
  <c r="L294" i="7"/>
  <c r="L76" i="7"/>
  <c r="K41" i="7"/>
  <c r="G354" i="7"/>
  <c r="L177" i="7"/>
  <c r="AN132" i="7"/>
  <c r="K132" i="7"/>
  <c r="I132" i="7" s="1"/>
  <c r="AN123" i="7"/>
  <c r="K123" i="7"/>
  <c r="I123" i="7" s="1"/>
  <c r="P26" i="1"/>
  <c r="F33" i="1"/>
  <c r="P138" i="1"/>
  <c r="AY101" i="1"/>
  <c r="F116" i="1"/>
  <c r="CH62" i="1"/>
  <c r="AY69" i="1"/>
  <c r="X62" i="1"/>
  <c r="F95" i="1"/>
  <c r="CH26" i="1"/>
  <c r="AY30" i="1"/>
  <c r="GP103" i="1"/>
  <c r="CD108" i="1" s="1"/>
  <c r="CA108" i="1"/>
  <c r="GO66" i="1"/>
  <c r="CC69" i="1" s="1"/>
  <c r="CA69" i="1"/>
  <c r="CF62" i="1"/>
  <c r="AW69" i="1"/>
  <c r="AV101" i="1"/>
  <c r="F113" i="1"/>
  <c r="CE26" i="1"/>
  <c r="AV30" i="1"/>
  <c r="F135" i="1"/>
  <c r="Y101" i="1"/>
  <c r="F123" i="1"/>
  <c r="S101" i="1"/>
  <c r="Q18" i="1"/>
  <c r="F180" i="1"/>
  <c r="CE62" i="1"/>
  <c r="AV69" i="1"/>
  <c r="F134" i="1"/>
  <c r="X101" i="1"/>
  <c r="AW101" i="1"/>
  <c r="F114" i="1"/>
  <c r="U18" i="1"/>
  <c r="F190" i="1"/>
  <c r="R22" i="1"/>
  <c r="F152" i="1"/>
  <c r="R168" i="1"/>
  <c r="AB26" i="1"/>
  <c r="O30" i="1"/>
  <c r="X26" i="1"/>
  <c r="F56" i="1"/>
  <c r="X138" i="1"/>
  <c r="S26" i="1"/>
  <c r="F45" i="1"/>
  <c r="S138" i="1"/>
  <c r="Y26" i="1"/>
  <c r="F57" i="1"/>
  <c r="CF26" i="1"/>
  <c r="AW30" i="1"/>
  <c r="GO28" i="1"/>
  <c r="CC30" i="1" s="1"/>
  <c r="CA30" i="1"/>
  <c r="O101" i="1"/>
  <c r="F110" i="1"/>
  <c r="P62" i="1"/>
  <c r="F72" i="1"/>
  <c r="AB62" i="1"/>
  <c r="O69" i="1"/>
  <c r="K77" i="7" l="1"/>
  <c r="I77" i="7" s="1"/>
  <c r="AN77" i="7"/>
  <c r="Y62" i="1"/>
  <c r="L307" i="7"/>
  <c r="L301" i="7"/>
  <c r="L350" i="7" s="1"/>
  <c r="L276" i="7"/>
  <c r="L327" i="7" s="1"/>
  <c r="L361" i="7" s="1"/>
  <c r="L362" i="7" s="1"/>
  <c r="L363" i="7" s="1"/>
  <c r="Y138" i="1"/>
  <c r="AN193" i="7"/>
  <c r="K193" i="7"/>
  <c r="L103" i="7"/>
  <c r="F74" i="1"/>
  <c r="AV62" i="1"/>
  <c r="AY26" i="1"/>
  <c r="F38" i="1"/>
  <c r="AY138" i="1"/>
  <c r="R18" i="1"/>
  <c r="F182" i="1"/>
  <c r="X22" i="1"/>
  <c r="X168" i="1"/>
  <c r="F164" i="1"/>
  <c r="CA62" i="1"/>
  <c r="AR69" i="1"/>
  <c r="CC62" i="1"/>
  <c r="AT69" i="1"/>
  <c r="O62" i="1"/>
  <c r="F71" i="1"/>
  <c r="CA26" i="1"/>
  <c r="AR30" i="1"/>
  <c r="AR108" i="1"/>
  <c r="CA101" i="1"/>
  <c r="AY62" i="1"/>
  <c r="F77" i="1"/>
  <c r="AT30" i="1"/>
  <c r="CC26" i="1"/>
  <c r="S22" i="1"/>
  <c r="S168" i="1"/>
  <c r="F153" i="1"/>
  <c r="J16" i="2" s="1"/>
  <c r="O26" i="1"/>
  <c r="F32" i="1"/>
  <c r="O138" i="1"/>
  <c r="CD101" i="1"/>
  <c r="AU108" i="1"/>
  <c r="AW26" i="1"/>
  <c r="AW138" i="1"/>
  <c r="F36" i="1"/>
  <c r="AW62" i="1"/>
  <c r="F75" i="1"/>
  <c r="Y22" i="1"/>
  <c r="Y168" i="1"/>
  <c r="F165" i="1"/>
  <c r="AV26" i="1"/>
  <c r="F35" i="1"/>
  <c r="AV138" i="1"/>
  <c r="P22" i="1"/>
  <c r="P168" i="1"/>
  <c r="F141" i="1"/>
  <c r="BW193" i="7" l="1"/>
  <c r="BT193" i="7"/>
  <c r="BX193" i="7"/>
  <c r="I193" i="7"/>
  <c r="AT26" i="1"/>
  <c r="F48" i="1"/>
  <c r="AT138" i="1"/>
  <c r="AW22" i="1"/>
  <c r="AW168" i="1"/>
  <c r="F144" i="1"/>
  <c r="P18" i="1"/>
  <c r="F171" i="1"/>
  <c r="Y18" i="1"/>
  <c r="F195" i="1"/>
  <c r="X18" i="1"/>
  <c r="F194" i="1"/>
  <c r="AU138" i="1"/>
  <c r="F127" i="1"/>
  <c r="AU101" i="1"/>
  <c r="S18" i="1"/>
  <c r="F183" i="1"/>
  <c r="AT62" i="1"/>
  <c r="F87" i="1"/>
  <c r="AV22" i="1"/>
  <c r="AV168" i="1"/>
  <c r="F143" i="1"/>
  <c r="AR101" i="1"/>
  <c r="F136" i="1"/>
  <c r="O22" i="1"/>
  <c r="O168" i="1"/>
  <c r="F140" i="1"/>
  <c r="AR26" i="1"/>
  <c r="F58" i="1"/>
  <c r="AR138" i="1"/>
  <c r="AR62" i="1"/>
  <c r="F97" i="1"/>
  <c r="AY22" i="1"/>
  <c r="AY168" i="1"/>
  <c r="F146" i="1"/>
  <c r="AW18" i="1" l="1"/>
  <c r="F174" i="1"/>
  <c r="AY18" i="1"/>
  <c r="F176" i="1"/>
  <c r="AV18" i="1"/>
  <c r="F173" i="1"/>
  <c r="AT22" i="1"/>
  <c r="F156" i="1"/>
  <c r="AT168" i="1"/>
  <c r="O18" i="1"/>
  <c r="F170" i="1"/>
  <c r="AU22" i="1"/>
  <c r="F157" i="1"/>
  <c r="AU168" i="1"/>
  <c r="AR22" i="1"/>
  <c r="AR168" i="1"/>
  <c r="F166" i="1"/>
  <c r="F16" i="2" l="1"/>
  <c r="I16" i="2" s="1"/>
  <c r="N16" i="2" s="1"/>
  <c r="C42" i="7"/>
  <c r="C38" i="7" s="1"/>
  <c r="H16" i="2"/>
  <c r="C44" i="7"/>
  <c r="AR18" i="1"/>
  <c r="F196" i="1"/>
  <c r="F197" i="1" s="1"/>
  <c r="F198" i="1" s="1"/>
  <c r="AT18" i="1"/>
  <c r="F186" i="1"/>
  <c r="AU18" i="1"/>
  <c r="F187" i="1"/>
</calcChain>
</file>

<file path=xl/sharedStrings.xml><?xml version="1.0" encoding="utf-8"?>
<sst xmlns="http://schemas.openxmlformats.org/spreadsheetml/2006/main" count="2410" uniqueCount="409">
  <si>
    <t>Smeta.RU Flash  (495) 974-1589</t>
  </si>
  <si>
    <t>_PS_</t>
  </si>
  <si>
    <t>Smeta.RU Flash</t>
  </si>
  <si>
    <t/>
  </si>
  <si>
    <t>Новый объект</t>
  </si>
  <si>
    <t>26.03.2026 Ремонт поврежденного КЛ-10 кВ в ячейке РУ-10 кВ ТП 1515 в направлении Тп-480 по адресу:М.О.г.Домодедово,мкр.Западный,Каширское шоссе</t>
  </si>
  <si>
    <t>Сметные нормы списания</t>
  </si>
  <si>
    <t>Коды ценников</t>
  </si>
  <si>
    <t>ФСНБ-2022_И17 - Московская область</t>
  </si>
  <si>
    <t>Версия 1.17.0 для ФСНБ-2022 И17</t>
  </si>
  <si>
    <t>ФСНБ-2022 - Изменения И17</t>
  </si>
  <si>
    <t>Поправки для ФСНБ-2022 от 25.02.2026 г И17 (55/пр) Строительство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</si>
  <si>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</si>
  <si>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</si>
  <si>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Новая локальная смета</t>
  </si>
  <si>
    <t>Новый раздел</t>
  </si>
  <si>
    <t>Ремонт КЛ-10 кВ</t>
  </si>
  <si>
    <t>1</t>
  </si>
  <si>
    <t>м08-02-147-13</t>
  </si>
  <si>
    <t>Кабель до 35 кВ по установленным конструкциям и лоткам с креплением по всей длине, масса 1 м кабеля: свыше 3 до 6 кг</t>
  </si>
  <si>
    <t>100 м</t>
  </si>
  <si>
    <t>ГЭСНм-2022 доп.7, м08-02-147-13, приказ Минстроя России от 02.08.2023 г. № 551/пр</t>
  </si>
  <si>
    <t>*(0,15+0,2+1)</t>
  </si>
  <si>
    <t>Монтажные работы</t>
  </si>
  <si>
    <t>Электротехнические установки: на других объектах</t>
  </si>
  <si>
    <t>мФЕР-08</t>
  </si>
  <si>
    <t>Поправка: 421/пр_2020_прил.10_т.1_п.5_гр.4 Поправка: 421/пр_2020_прил.10_т.1_п.4_гр.4</t>
  </si>
  <si>
    <t>Пр/812-049.3-1</t>
  </si>
  <si>
    <t>Пр/774-049.3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</si>
  <si>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</si>
  <si>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</si>
  <si>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</si>
  <si>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</si>
  <si>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</si>
  <si>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</si>
  <si>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</si>
  <si>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</si>
  <si>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</si>
  <si>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</si>
  <si>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</si>
  <si>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</si>
  <si>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</si>
  <si>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</si>
  <si>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</si>
  <si>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</si>
  <si>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</si>
  <si>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</si>
  <si>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</si>
  <si>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</si>
  <si>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</si>
  <si>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</si>
  <si>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</si>
  <si>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</si>
  <si>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</si>
  <si>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</si>
  <si>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</si>
  <si>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</si>
  <si>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</si>
  <si>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</si>
  <si>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</si>
  <si>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</si>
  <si>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</si>
  <si>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</si>
  <si>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</si>
  <si>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</si>
  <si>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</si>
  <si>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</si>
  <si>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</si>
  <si>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</si>
  <si>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</si>
  <si>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</si>
  <si>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</si>
  <si>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</si>
  <si>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</si>
  <si>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</si>
  <si>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</si>
  <si>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</si>
  <si>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</si>
  <si>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</si>
  <si>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</si>
  <si>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</si>
  <si>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</si>
  <si>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</si>
  <si>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Монтаж концевой муфты</t>
  </si>
  <si>
    <t>2</t>
  </si>
  <si>
    <t>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</si>
  <si>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</si>
  <si>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ШТ</t>
  </si>
  <si>
    <t>ГЭСНм-2022, м08-02-163-02, приказ Минстроя России от 18.05.2022 г. № 378/пр</t>
  </si>
  <si>
    <t>2,1</t>
  </si>
  <si>
    <t>ТН Мособлэнерго</t>
  </si>
  <si>
    <t>Муфта 3КВТП-10-70/120</t>
  </si>
  <si>
    <t>3</t>
  </si>
  <si>
    <t>м08-02-144-06</t>
  </si>
  <si>
    <t>Присоединение к зажимам жил проводов или кабелей сечением: до 150 мм2</t>
  </si>
  <si>
    <t>100 ШТ</t>
  </si>
  <si>
    <t>ГЭСНм-2022, м08-02-144-06, приказ Минстроя России от 18.05.2022 г. № 378/пр</t>
  </si>
  <si>
    <t>4</t>
  </si>
  <si>
    <t>м08-02-472-10</t>
  </si>
  <si>
    <t>Проводник заземляющий из медного изолированного провода сечением 25 мм2 открыто по строительным основаниям</t>
  </si>
  <si>
    <t>ГЭСНм-2022 доп.8, м08-02-472-10, приказ Минстроя России от 14.11.2023 г. № 817/пр</t>
  </si>
  <si>
    <t>ПНР</t>
  </si>
  <si>
    <t>5</t>
  </si>
  <si>
    <t>п01-11-011-01</t>
  </si>
  <si>
    <t>Проверка наличия цепи между заземлителями и заземленными элементами</t>
  </si>
  <si>
    <t>100 измерений</t>
  </si>
  <si>
    <t>ГЭСНп-2022, п01-11-011-01, приказ Минстроя России от 18.05.2022 г. № 378/пр</t>
  </si>
  <si>
    <t>Пусконаладочные работы</t>
  </si>
  <si>
    <t>Пусконаладочные работы Электротехнические устройства</t>
  </si>
  <si>
    <t>ФЕРп</t>
  </si>
  <si>
    <t>Пр/812-083.0-1</t>
  </si>
  <si>
    <t>Пр/774-083.0</t>
  </si>
  <si>
    <t>6</t>
  </si>
  <si>
    <t>п01-12-027-01</t>
  </si>
  <si>
    <t>Испытание кабеля силового длиной до 500 м напряжением: до 10 кВ</t>
  </si>
  <si>
    <t>испытание</t>
  </si>
  <si>
    <t>ГЭСНп-2022, п01-12-027-01, приказ Минстроя России от 18.05.2022 г. № 378/пр</t>
  </si>
  <si>
    <t>7</t>
  </si>
  <si>
    <t>п01-11-024-02</t>
  </si>
  <si>
    <t>Фазировка электрической линии или трансформатора с сетью напряжением: свыше 1 кВ</t>
  </si>
  <si>
    <t>ГЭСНп-2022, п01-11-024-02, приказ Минстроя России от 18.05.2022 г. № 378/пр</t>
  </si>
  <si>
    <t>8</t>
  </si>
  <si>
    <t>п01-11-001-01</t>
  </si>
  <si>
    <t>Поиск и определение места повреждения кабеля с прожигом, длина кабеля: до 500 м</t>
  </si>
  <si>
    <t>кабель</t>
  </si>
  <si>
    <t>ГЭСНп-2022, п01-11-001-01, приказ Минстроя России от 18.05.2022 г. № 378/пр</t>
  </si>
  <si>
    <t>*1,3</t>
  </si>
  <si>
    <t>НДС 22%</t>
  </si>
  <si>
    <t>Всего с НДС</t>
  </si>
  <si>
    <t>Переменная</t>
  </si>
  <si>
    <t>Новая переменная</t>
  </si>
  <si>
    <t>Переменная1</t>
  </si>
  <si>
    <t>Электротехнические устройства</t>
  </si>
  <si>
    <t>Мет. 421/пр. 04.08.20. пр. 8; п.1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</si>
  <si>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</si>
  <si>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</si>
  <si>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</si>
  <si>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</si>
  <si>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</si>
  <si>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</si>
  <si>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</si>
  <si>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</si>
  <si>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</si>
  <si>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</si>
  <si>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</si>
  <si>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</si>
  <si>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</si>
  <si>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</si>
  <si>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</si>
  <si>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</si>
  <si>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</si>
  <si>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</si>
  <si>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</si>
  <si>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</si>
  <si>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</si>
  <si>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</si>
  <si>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</si>
  <si>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</si>
  <si>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</si>
  <si>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</si>
  <si>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</si>
  <si>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</si>
  <si>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</si>
  <si>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</si>
  <si>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</si>
  <si>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</si>
  <si>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</si>
  <si>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</si>
  <si>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</si>
  <si>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</si>
  <si>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</si>
  <si>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</si>
  <si>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</si>
  <si>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</si>
  <si>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</si>
  <si>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</si>
  <si>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</si>
  <si>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</si>
  <si>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</si>
  <si>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</si>
  <si>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</si>
  <si>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</si>
  <si>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</si>
  <si>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</si>
  <si>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</si>
  <si>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</si>
  <si>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</si>
  <si>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</si>
  <si>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</si>
  <si>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</si>
  <si>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</si>
  <si>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</si>
  <si>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</si>
  <si>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</si>
  <si>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</si>
  <si>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</si>
  <si>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</si>
  <si>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</si>
  <si>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</si>
  <si>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</si>
  <si>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</si>
  <si>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</si>
  <si>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Московская область, КТЦ к ФСНБ-2022, 1 квартал 2026 г</t>
  </si>
  <si>
    <t>Сборник индексов</t>
  </si>
  <si>
    <t>Индексы ФГИС ЦС к ФСНБ-2022 - Московская область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</si>
  <si>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 квартал 2026 года»</t>
  </si>
  <si>
    <t>Справочная информация</t>
  </si>
  <si>
    <t>Письмо Минстроя России от 25.02.2026 № 9859-ИФ/09</t>
  </si>
  <si>
    <t>Распоряжение Министерства экономики и финансов Московской области</t>
  </si>
  <si>
    <t>Распоряжение Министерства экономики и финансов Московской области от 04.03.2025 г. № 24РВ-20</t>
  </si>
  <si>
    <t>_OBSM_</t>
  </si>
  <si>
    <t>1-100-38</t>
  </si>
  <si>
    <t>Средний разряд работы 3,8</t>
  </si>
  <si>
    <t>чел.-ч.</t>
  </si>
  <si>
    <t>4-100-00</t>
  </si>
  <si>
    <t>Затраты труда машинистов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</si>
  <si>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</si>
  <si>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</si>
  <si>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</si>
  <si>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маш.-ч</t>
  </si>
  <si>
    <t>4-100-060</t>
  </si>
  <si>
    <t>91.06.01-003</t>
  </si>
  <si>
    <t>ФСЭМ-2022, 91.06.01-003, приказ Минстроя России от 18.05.2022 г. № 378/пр</t>
  </si>
  <si>
    <t>Домкраты гидравлические, грузоподъемность 63-100 т</t>
  </si>
  <si>
    <t>91.06.03-062</t>
  </si>
  <si>
    <t>ФСЭМ-2022, 91.06.03-062, приказ Минстроя России от 18.05.2022 г. № 378/пр</t>
  </si>
  <si>
    <t>Лебедки электрические тяговым усилием до 31,39 кН (3,2 т)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</si>
  <si>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</si>
  <si>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</si>
  <si>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</si>
  <si>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4-100-040</t>
  </si>
  <si>
    <t>01.7.06.07-0002</t>
  </si>
  <si>
    <t>ФСБЦ-2022, 01.7.06.07-0002, приказ Минстроя России от 18.05.2022 г. № 378/пр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</si>
  <si>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</si>
  <si>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</si>
  <si>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01.7.15.14-0165</t>
  </si>
  <si>
    <t>ФСБЦ-2022 доп.2, 01.7.15.14-0165, приказ Минстроя России от 26.08.2022 г. № 703/пр</t>
  </si>
  <si>
    <t>Шурупы самонарезающие стальные с полукруглой головкой и прямым шлицем, остроконечные, диаметр 4 мм, длина 40 мм</t>
  </si>
  <si>
    <t>т</t>
  </si>
  <si>
    <t>10.3.02.03-0011</t>
  </si>
  <si>
    <t>ФСБЦ-2022, 10.3.02.03-0011, приказ Минстроя России от 18.05.2022 г. № 378/пр</t>
  </si>
  <si>
    <t>Припои оловянно-свинцовые бессурьмянистые, марка ПОС30</t>
  </si>
  <si>
    <t>кг</t>
  </si>
  <si>
    <t>14.4.03.03-0002</t>
  </si>
  <si>
    <t>ФСБЦ-2022 доп.4, 14.4.03.03-0002, приказ Минстроя России от 27.12.2022 г. № 1133/пр</t>
  </si>
  <si>
    <t>Лак битумный БТ-123</t>
  </si>
  <si>
    <t>01.3.01.01-0001</t>
  </si>
  <si>
    <t>ФСБЦ-2022 доп.6, 01.3.01.01-0001, приказ Минстроя России от 11.05.2023 г. № 335/пр</t>
  </si>
  <si>
    <t>Бензин авиационный Б-70</t>
  </si>
  <si>
    <t>01.3.01.05-0009</t>
  </si>
  <si>
    <t>ФСБЦ-2022 доп.8, 01.3.01.05-0009, приказ Минстроя России от 14.11.2023 г. № 817/пр</t>
  </si>
  <si>
    <t>Парафин нефтяной твердый Т-1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</si>
  <si>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</si>
  <si>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</si>
  <si>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</si>
  <si>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</si>
  <si>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01.7.15.07-0014</t>
  </si>
  <si>
    <t>ФСБЦ-2022, 01.7.15.07-0014, приказ Минстроя России от 18.05.2022 г. № 378/пр</t>
  </si>
  <si>
    <t>Дюбели распорные полипропиленовые</t>
  </si>
  <si>
    <t>01.7.15.14-0043</t>
  </si>
  <si>
    <t>ФСБЦ-2022 доп.12, 01.7.15.14-0043, приказ Минстроя России от 07.11.2024 г. № 747/пр</t>
  </si>
  <si>
    <t>Шурупы самонарезающие стальные оксидированные с полукруглой головкой и крестообразным шлицем, остроконечные, диаметр 3,5 мм, длина 11 мм</t>
  </si>
  <si>
    <t>2-100-06</t>
  </si>
  <si>
    <t>Рабочий 6 разряда</t>
  </si>
  <si>
    <t>чел.-ч</t>
  </si>
  <si>
    <t>3-200-03</t>
  </si>
  <si>
    <t>Инженер III категории</t>
  </si>
  <si>
    <t>2-100-04</t>
  </si>
  <si>
    <t>Рабочий 4 разряда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</si>
  <si>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</si>
  <si>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</si>
  <si>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</si>
  <si>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*1,15</t>
  </si>
  <si>
    <t>421/пр_2020_прил.10_т.1_п.5_гр.4</t>
  </si>
  <si>
    <t>Производство работ осуществляется в стесненных условиях населенных пунктов</t>
  </si>
  <si>
    <t>Методика 421/пр (Строительство)</t>
  </si>
  <si>
    <t>*1,20</t>
  </si>
  <si>
    <t>421/пр_2020_прил.10_т.1_п.4_гр.4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</si>
  <si>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</si>
  <si>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</t>
  </si>
  <si>
    <t>Поправка: 421/пр_2020_прил.10_т.1_п.5_гр.4 Наименование: Производство работ осуществляется в стесненных условиях населенных пунктов Поправка: 421/пр_2020_прил.10_т.1_п.4_гр.4 Наименование: 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</si>
  <si>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</si>
  <si>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</si>
  <si>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</si>
  <si>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</si>
  <si>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</si>
  <si>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</si>
  <si>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</si>
  <si>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</si>
  <si>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</si>
  <si>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</si>
  <si>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</si>
  <si>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</si>
  <si>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</si>
  <si>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</si>
  <si>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</si>
  <si>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</si>
  <si>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</si>
  <si>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</si>
  <si>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</si>
  <si>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</si>
  <si>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</si>
  <si>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</si>
  <si>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</si>
  <si>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</si>
  <si>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</si>
  <si>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>Расчетный измеритель конструктивного решения</t>
  </si>
  <si>
    <t xml:space="preserve">прочих затрат       </t>
  </si>
  <si>
    <t>Стоимость единицы конструктивного решения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</si>
  <si>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</si>
  <si>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</si>
  <si>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</si>
  <si>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</si>
  <si>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</si>
  <si>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</si>
  <si>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</si>
  <si>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</si>
  <si>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</si>
  <si>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</si>
  <si>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</si>
  <si>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</si>
  <si>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</si>
  <si>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 Flash» версия 12»</t>
  </si>
  <si>
    <t>ФГИС ЦС, конъюнктурный анализ</t>
  </si>
  <si>
    <t>Ресурсно-индексным</t>
  </si>
  <si>
    <t>Составлен(а) в текущем уровне цен на I квартал 2026 года</t>
  </si>
  <si>
    <t>Раздел: Ремонт КЛ-10 кВ</t>
  </si>
  <si>
    <t>ГЭСНм 08-02-147-13</t>
  </si>
  <si>
    <t>ЭМ *1,15; ЗТ *1,15; ЗТм *1,15</t>
  </si>
  <si>
    <t>ЭМ *1,20; ЗТ *1,20; ЗТм *1,20</t>
  </si>
  <si>
    <t>ОТ (ЗТ)</t>
  </si>
  <si>
    <t>ЭМ</t>
  </si>
  <si>
    <t>ОТм(ЗТм) Средний разряд машинистов 6</t>
  </si>
  <si>
    <t>ОТм(ЗТм) Средний разряд машинистов 4</t>
  </si>
  <si>
    <t>ОТм(ЗТм)</t>
  </si>
  <si>
    <t>М</t>
  </si>
  <si>
    <t>Итого прямые затраты</t>
  </si>
  <si>
    <t>ФОТ</t>
  </si>
  <si>
    <t>НР Электротехнические установки: на других объектах</t>
  </si>
  <si>
    <t>СП Электротехнические установки: на других объектах</t>
  </si>
  <si>
    <t>Всего по позиции</t>
  </si>
  <si>
    <t>=</t>
  </si>
  <si>
    <t>Итого прямые затраты по 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</si>
  <si>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</si>
  <si>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</si>
  <si>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</si>
  <si>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</si>
  <si>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</si>
  <si>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</si>
  <si>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</si>
  <si>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</si>
  <si>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</si>
  <si>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</si>
  <si>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</si>
  <si>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</si>
  <si>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</si>
  <si>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</si>
  <si>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</si>
  <si>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</si>
  <si>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</si>
  <si>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</si>
  <si>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</si>
  <si>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</si>
  <si>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</si>
  <si>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</si>
  <si>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</si>
  <si>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</si>
  <si>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</si>
  <si>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Раздел: Монтаж концевой муфты</t>
  </si>
  <si>
    <t>ГЭСНм 08-02-163-02</t>
  </si>
  <si>
    <t>2.1</t>
  </si>
  <si>
    <t>ГЭСНм 08-02-144-06</t>
  </si>
  <si>
    <t>ГЭСНм 08-02-472-10</t>
  </si>
  <si>
    <t>Раздел: ПНР</t>
  </si>
  <si>
    <t>ГЭСНп 01-11-011-01</t>
  </si>
  <si>
    <t>НР Пусконаладочные работы</t>
  </si>
  <si>
    <t>СП Пусконаладочные работы</t>
  </si>
  <si>
    <t>ГЭСНп 01-12-027-01</t>
  </si>
  <si>
    <t>ГЭСНп 01-11-024-02</t>
  </si>
  <si>
    <t>ГЭСНп 01-11-001-01</t>
  </si>
  <si>
    <r>
      <t>Поиск и определение места повреждения кабеля с прожигом, длина кабеля: до 500 м</t>
    </r>
    <r>
      <rPr>
        <i/>
        <sz val="10"/>
        <rFont val="Arial"/>
        <family val="2"/>
        <charset val="204"/>
      </rPr>
      <t xml:space="preserve">
Поправки к: 
ЭМ *1,3;   
ЗТ *1,3;   
ЗТм *1,3</t>
    </r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</si>
  <si>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</si>
  <si>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</si>
  <si>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</si>
  <si>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</si>
  <si>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</si>
  <si>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</si>
  <si>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</si>
  <si>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</si>
  <si>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</si>
  <si>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</si>
  <si>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</si>
  <si>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</si>
  <si>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</si>
  <si>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ВСЕГО по смете</t>
  </si>
  <si>
    <t>Всего оборудование</t>
  </si>
  <si>
    <t>Всего прочие затраты</t>
  </si>
  <si>
    <t xml:space="preserve">      Электротехнические устройства</t>
  </si>
  <si>
    <t xml:space="preserve">         под нагрузкой(по стр. 5-8)</t>
  </si>
  <si>
    <t xml:space="preserve">Составил   </t>
  </si>
  <si>
    <t>[должность,подпись(инициалы,фамилия)]</t>
  </si>
  <si>
    <t xml:space="preserve">Проверил   </t>
  </si>
  <si>
    <t>Ремонт поврежденного КЛ-10 кВ в ячейке РУ-10 кВ ТП 1515 в направлении Тп-480 по адресу:М.О.г.Домодедово,мкр.Западный,Каширское шоссе</t>
  </si>
  <si>
    <t>Итого с НДС</t>
  </si>
  <si>
    <t>Инженер-сметчик</t>
  </si>
  <si>
    <t>Медведева И.Е.</t>
  </si>
  <si>
    <t>Начальник отдела</t>
  </si>
  <si>
    <t>Вельц В.А.</t>
  </si>
  <si>
    <t>НДС 22 %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</si>
</sst>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;[Red]\-\ #,##0.00"/>
    <numFmt numFmtId="166" formatCode="#,##0.00#####;[Red]\-\ #,##0.00#####"/>
  </numFmts>
  <fonts count="27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b/>
      <sz val="10"/>
      <color indexed="14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NumberFormat="1" applyFont="1" applyAlignment="1"/>
    <xf numFmtId="0" fontId="11" fillId="0" borderId="0" xfId="0" applyNumberFormat="1" applyFont="1" applyAlignment="1">
      <alignment vertical="top" wrapText="1"/>
    </xf>
    <xf numFmtId="0" fontId="11" fillId="0" borderId="2" xfId="0" applyNumberFormat="1" applyFont="1" applyBorder="1" applyAlignment="1">
      <alignment vertical="top"/>
    </xf>
    <xf numFmtId="0" fontId="11" fillId="0" borderId="0" xfId="0" applyNumberFormat="1" applyFont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 wrapText="1"/>
    </xf>
    <xf numFmtId="0" fontId="12" fillId="0" borderId="0" xfId="0" applyNumberFormat="1" applyFont="1" applyAlignment="1"/>
    <xf numFmtId="0" fontId="12" fillId="0" borderId="2" xfId="0" applyNumberFormat="1" applyFont="1" applyBorder="1" applyAlignment="1"/>
    <xf numFmtId="0" fontId="18" fillId="0" borderId="0" xfId="0" applyNumberFormat="1" applyFont="1" applyAlignment="1"/>
    <xf numFmtId="0" fontId="18" fillId="0" borderId="0" xfId="0" applyNumberFormat="1" applyFont="1" applyAlignment="1">
      <alignment wrapText="1"/>
    </xf>
    <xf numFmtId="0" fontId="19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horizontal="center" wrapText="1"/>
    </xf>
    <xf numFmtId="0" fontId="11" fillId="0" borderId="0" xfId="0" applyNumberFormat="1" applyFont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2" xfId="0" applyNumberFormat="1" applyFont="1" applyBorder="1" applyAlignment="1"/>
    <xf numFmtId="0" fontId="11" fillId="0" borderId="0" xfId="0" applyNumberFormat="1" applyFont="1" applyAlignment="1">
      <alignment horizontal="left" wrapText="1"/>
    </xf>
    <xf numFmtId="0" fontId="11" fillId="0" borderId="0" xfId="0" applyNumberFormat="1" applyFont="1" applyAlignment="1">
      <alignment wrapText="1"/>
    </xf>
    <xf numFmtId="0" fontId="14" fillId="0" borderId="0" xfId="0" applyNumberFormat="1" applyFont="1" applyAlignment="1"/>
    <xf numFmtId="14" fontId="18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6" fillId="0" borderId="0" xfId="0" applyNumberFormat="1" applyFont="1" applyAlignment="1"/>
    <xf numFmtId="164" fontId="11" fillId="0" borderId="0" xfId="0" applyNumberFormat="1" applyFont="1" applyAlignment="1">
      <alignment horizontal="right"/>
    </xf>
    <xf numFmtId="0" fontId="18" fillId="0" borderId="1" xfId="0" applyNumberFormat="1" applyFont="1" applyBorder="1" applyAlignment="1"/>
    <xf numFmtId="0" fontId="11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/>
    </xf>
    <xf numFmtId="0" fontId="18" fillId="0" borderId="0" xfId="0" applyNumberFormat="1" applyFont="1" applyAlignment="1">
      <alignment horizontal="center"/>
    </xf>
    <xf numFmtId="0" fontId="18" fillId="0" borderId="7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left" vertical="top" wrapText="1"/>
    </xf>
    <xf numFmtId="0" fontId="15" fillId="0" borderId="1" xfId="0" applyNumberFormat="1" applyFont="1" applyBorder="1" applyAlignment="1">
      <alignment horizontal="center" wrapText="1"/>
    </xf>
    <xf numFmtId="0" fontId="22" fillId="0" borderId="0" xfId="0" quotePrefix="1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right" vertical="top" wrapText="1"/>
    </xf>
    <xf numFmtId="165" fontId="22" fillId="0" borderId="0" xfId="0" applyNumberFormat="1" applyFont="1" applyAlignment="1">
      <alignment horizontal="right" vertical="top"/>
    </xf>
    <xf numFmtId="0" fontId="24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166" fontId="22" fillId="0" borderId="0" xfId="0" applyNumberFormat="1" applyFont="1" applyAlignment="1">
      <alignment horizontal="right" vertical="top"/>
    </xf>
    <xf numFmtId="165" fontId="25" fillId="0" borderId="0" xfId="0" applyNumberFormat="1" applyFont="1" applyAlignment="1">
      <alignment horizontal="right" vertical="top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right" vertical="top" wrapText="1"/>
    </xf>
    <xf numFmtId="0" fontId="22" fillId="0" borderId="1" xfId="0" applyFont="1" applyBorder="1" applyAlignment="1">
      <alignment horizontal="right" vertical="top"/>
    </xf>
    <xf numFmtId="165" fontId="22" fillId="0" borderId="1" xfId="0" applyNumberFormat="1" applyFont="1" applyBorder="1" applyAlignment="1">
      <alignment horizontal="right" vertical="top"/>
    </xf>
    <xf numFmtId="0" fontId="22" fillId="0" borderId="1" xfId="0" applyFont="1" applyBorder="1" applyAlignment="1">
      <alignment horizontal="right" vertical="top" wrapText="1"/>
    </xf>
    <xf numFmtId="165" fontId="0" fillId="0" borderId="0" xfId="0" applyNumberFormat="1"/>
    <xf numFmtId="0" fontId="25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9" fillId="0" borderId="0" xfId="0" applyFont="1" applyAlignment="1">
      <alignment horizontal="left" vertical="top" wrapText="1"/>
    </xf>
    <xf numFmtId="0" fontId="25" fillId="0" borderId="0" xfId="0" applyFont="1" applyAlignment="1">
      <alignment vertical="top"/>
    </xf>
    <xf numFmtId="0" fontId="13" fillId="0" borderId="0" xfId="0" applyFont="1" applyAlignment="1">
      <alignment horizontal="left" vertical="top" wrapText="1"/>
    </xf>
    <xf numFmtId="0" fontId="25" fillId="0" borderId="0" xfId="0" applyFont="1" applyAlignment="1">
      <alignment horizontal="right" vertical="top"/>
    </xf>
    <xf numFmtId="0" fontId="25" fillId="0" borderId="2" xfId="0" applyFont="1" applyBorder="1" applyAlignment="1">
      <alignment vertical="top"/>
    </xf>
    <xf numFmtId="0" fontId="13" fillId="0" borderId="2" xfId="0" applyFont="1" applyBorder="1" applyAlignment="1">
      <alignment horizontal="left" vertical="top" wrapText="1"/>
    </xf>
    <xf numFmtId="165" fontId="25" fillId="0" borderId="2" xfId="0" applyNumberFormat="1" applyFont="1" applyBorder="1" applyAlignment="1">
      <alignment horizontal="right" vertical="top"/>
    </xf>
    <xf numFmtId="0" fontId="25" fillId="0" borderId="2" xfId="0" applyFont="1" applyBorder="1" applyAlignment="1">
      <alignment horizontal="right" vertical="top"/>
    </xf>
    <xf numFmtId="165" fontId="22" fillId="0" borderId="0" xfId="0" applyNumberFormat="1" applyFont="1" applyAlignment="1">
      <alignment horizontal="right" vertical="top" wrapText="1"/>
    </xf>
    <xf numFmtId="165" fontId="11" fillId="0" borderId="0" xfId="0" applyNumberFormat="1" applyFont="1" applyAlignment="1">
      <alignment horizontal="right"/>
    </xf>
    <xf numFmtId="165" fontId="11" fillId="0" borderId="0" xfId="0" applyNumberFormat="1" applyFont="1" applyAlignment="1"/>
    <xf numFmtId="165" fontId="12" fillId="0" borderId="0" xfId="0" applyNumberFormat="1" applyFont="1" applyAlignment="1"/>
    <xf numFmtId="166" fontId="12" fillId="0" borderId="0" xfId="0" applyNumberFormat="1" applyFont="1" applyAlignment="1"/>
    <xf numFmtId="0" fontId="12" fillId="0" borderId="0" xfId="0" applyNumberFormat="1" applyFont="1" applyAlignment="1">
      <alignment horizontal="right"/>
    </xf>
    <xf numFmtId="0" fontId="11" fillId="0" borderId="0" xfId="0" applyNumberFormat="1" applyFont="1" applyAlignment="1">
      <alignment horizontal="right" vertical="center"/>
    </xf>
    <xf numFmtId="0" fontId="18" fillId="0" borderId="0" xfId="0" applyNumberFormat="1" applyFont="1" applyAlignment="1">
      <alignment horizontal="left"/>
    </xf>
    <xf numFmtId="0" fontId="18" fillId="0" borderId="1" xfId="0" applyNumberFormat="1" applyFont="1" applyBorder="1" applyAlignment="1">
      <alignment horizontal="left"/>
    </xf>
    <xf numFmtId="0" fontId="18" fillId="0" borderId="0" xfId="0" applyNumberFormat="1" applyFont="1" applyAlignment="1">
      <alignment horizontal="right"/>
    </xf>
    <xf numFmtId="165" fontId="25" fillId="0" borderId="0" xfId="0" applyNumberFormat="1" applyFont="1" applyAlignment="1">
      <alignment horizontal="right" vertical="top" wrapText="1"/>
    </xf>
    <xf numFmtId="0" fontId="13" fillId="0" borderId="0" xfId="0" applyFont="1"/>
    <xf numFmtId="0" fontId="26" fillId="0" borderId="2" xfId="0" applyNumberFormat="1" applyFont="1" applyBorder="1" applyAlignment="1">
      <alignment horizontal="center"/>
    </xf>
    <xf numFmtId="0" fontId="22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5" fillId="0" borderId="2" xfId="0" applyFont="1" applyBorder="1" applyAlignment="1">
      <alignment horizontal="left" vertical="top" wrapText="1"/>
    </xf>
    <xf numFmtId="165" fontId="25" fillId="0" borderId="0" xfId="0" applyNumberFormat="1" applyFont="1" applyAlignment="1">
      <alignment horizontal="left" vertical="top"/>
    </xf>
    <xf numFmtId="165" fontId="25" fillId="0" borderId="2" xfId="0" applyNumberFormat="1" applyFont="1" applyBorder="1" applyAlignment="1">
      <alignment horizontal="right" vertical="top"/>
    </xf>
    <xf numFmtId="0" fontId="21" fillId="0" borderId="0" xfId="0" applyFont="1" applyAlignment="1">
      <alignment horizontal="left" vertical="top" wrapText="1"/>
    </xf>
    <xf numFmtId="0" fontId="24" fillId="0" borderId="0" xfId="0" applyFont="1" applyAlignment="1">
      <alignment vertical="top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top" wrapText="1"/>
    </xf>
    <xf numFmtId="165" fontId="11" fillId="0" borderId="0" xfId="0" applyNumberFormat="1" applyFont="1" applyAlignment="1">
      <alignment horizontal="right"/>
    </xf>
    <xf numFmtId="0" fontId="11" fillId="0" borderId="0" xfId="0" applyNumberFormat="1" applyFont="1" applyAlignment="1">
      <alignment horizontal="right"/>
    </xf>
    <xf numFmtId="0" fontId="15" fillId="0" borderId="1" xfId="0" applyNumberFormat="1" applyFont="1" applyBorder="1" applyAlignment="1">
      <alignment horizontal="center" wrapText="1"/>
    </xf>
    <xf numFmtId="0" fontId="15" fillId="0" borderId="0" xfId="0" applyNumberFormat="1" applyFont="1" applyAlignment="1">
      <alignment horizontal="center" wrapText="1"/>
    </xf>
    <xf numFmtId="0" fontId="20" fillId="0" borderId="1" xfId="0" applyNumberFormat="1" applyFont="1" applyBorder="1" applyAlignment="1">
      <alignment horizontal="center" wrapText="1"/>
    </xf>
    <xf numFmtId="0" fontId="11" fillId="0" borderId="1" xfId="0" applyNumberFormat="1" applyFont="1" applyBorder="1" applyAlignment="1">
      <alignment horizontal="left" wrapText="1"/>
    </xf>
    <xf numFmtId="0" fontId="11" fillId="0" borderId="0" xfId="0" applyNumberFormat="1" applyFont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73"/>
  <sheetViews>
    <sheetView tabSelected="1" view="pageBreakPreview" zoomScale="60" zoomScaleNormal="100" workbookViewId="0">
      <selection activeCell="A25" sqref="A25:L25"/>
    </sheetView>
  </sheetViews>
  <sheetFormatPr defaultRowHeight="12.75" outlineLevelRow="1" x14ac:dyDescent="0.2"/>
  <cols>
    <col min="1" max="1" width="5.7109375" customWidth="1"/>
    <col min="2" max="2" width="22.5703125" customWidth="1"/>
    <col min="3" max="3" width="40.7109375" customWidth="1"/>
    <col min="4" max="4" width="14.140625" customWidth="1"/>
    <col min="5" max="12" width="15.7109375" customWidth="1"/>
    <col min="15" max="91" width="0" hidden="1" customWidth="1"/>
    <col min="92" max="92" width="198.7109375" hidden="1" customWidth="1"/>
    <col min="93" max="93" width="108.7109375" hidden="1" customWidth="1"/>
    <col min="94" max="100" width="0" hidden="1" customWidth="1"/>
    <col min="101" max="101" width="83.7109375" hidden="1" customWidth="1"/>
  </cols>
  <sheetData>
    <row r="1" spans="1:93" x14ac:dyDescent="0.2">
      <c r="A1" s="9" t="str">
        <f>Source!B1</f>
        <v>Smeta.RU Flash  (495) 974-1589</v>
      </c>
    </row>
    <row r="2" spans="1:93" ht="12.75" customHeight="1" x14ac:dyDescent="0.2">
      <c r="A2" s="107" t="s">
        <v>281</v>
      </c>
      <c r="B2" s="107"/>
      <c r="C2" s="107"/>
      <c r="D2" s="107"/>
      <c r="E2" s="107"/>
      <c r="F2" s="108" t="s">
        <v>322</v>
      </c>
      <c r="G2" s="108"/>
      <c r="H2" s="108"/>
      <c r="I2" s="108"/>
      <c r="J2" s="108"/>
      <c r="K2" s="108"/>
      <c r="L2" s="108"/>
    </row>
    <row r="3" spans="1:93" ht="12.75" customHeight="1" x14ac:dyDescent="0.2">
      <c r="A3" s="11"/>
      <c r="B3" s="11"/>
      <c r="C3" s="11"/>
      <c r="D3" s="11"/>
      <c r="E3" s="11"/>
      <c r="F3" s="12"/>
      <c r="G3" s="12"/>
      <c r="H3" s="12"/>
      <c r="I3" s="12"/>
      <c r="J3" s="12"/>
      <c r="K3" s="12"/>
      <c r="L3" s="12"/>
    </row>
    <row r="4" spans="1:93" ht="25.5" x14ac:dyDescent="0.2">
      <c r="A4" s="107" t="s">
        <v>282</v>
      </c>
      <c r="B4" s="107"/>
      <c r="C4" s="107"/>
      <c r="D4" s="107"/>
      <c r="E4" s="107"/>
      <c r="F4" s="108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4" s="108"/>
      <c r="H4" s="108"/>
      <c r="I4" s="108"/>
      <c r="J4" s="108"/>
      <c r="K4" s="108"/>
      <c r="L4" s="108"/>
      <c r="CO4" s="37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5" spans="1:93" ht="12.75" customHeight="1" x14ac:dyDescent="0.2">
      <c r="A5" s="11"/>
      <c r="B5" s="11"/>
      <c r="C5" s="11"/>
      <c r="D5" s="11"/>
      <c r="E5" s="11"/>
      <c r="F5" s="12"/>
      <c r="G5" s="12"/>
      <c r="H5" s="12"/>
      <c r="I5" s="12"/>
      <c r="J5" s="12"/>
      <c r="K5" s="12"/>
      <c r="L5" s="12"/>
    </row>
    <row r="6" spans="1:93" ht="140.25" x14ac:dyDescent="0.2">
      <c r="A6" s="107" t="s">
        <v>283</v>
      </c>
      <c r="B6" s="107"/>
      <c r="C6" s="107"/>
      <c r="D6" s="107"/>
      <c r="E6" s="107"/>
      <c r="F6" s="108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6" s="108"/>
      <c r="H6" s="108"/>
      <c r="I6" s="108"/>
      <c r="J6" s="108"/>
      <c r="K6" s="108"/>
      <c r="L6" s="108"/>
      <c r="CO6" s="37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7" spans="1:93" ht="12.75" customHeight="1" x14ac:dyDescent="0.2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</row>
    <row r="8" spans="1:93" ht="76.5" customHeight="1" x14ac:dyDescent="0.2">
      <c r="A8" s="107" t="s">
        <v>284</v>
      </c>
      <c r="B8" s="107"/>
      <c r="C8" s="107"/>
      <c r="D8" s="107"/>
      <c r="E8" s="107"/>
      <c r="F8" s="108" t="s">
        <v>207</v>
      </c>
      <c r="G8" s="108"/>
      <c r="H8" s="108"/>
      <c r="I8" s="108"/>
      <c r="J8" s="108"/>
      <c r="K8" s="108"/>
      <c r="L8" s="108"/>
    </row>
    <row r="9" spans="1:93" ht="12.75" customHeight="1" x14ac:dyDescent="0.2">
      <c r="A9" s="11"/>
      <c r="B9" s="11"/>
      <c r="C9" s="11"/>
      <c r="D9" s="11"/>
      <c r="E9" s="11"/>
      <c r="F9" s="12"/>
      <c r="G9" s="12"/>
      <c r="H9" s="12"/>
      <c r="I9" s="12"/>
      <c r="J9" s="12"/>
      <c r="K9" s="12"/>
      <c r="L9" s="12"/>
    </row>
    <row r="10" spans="1:93" ht="38.25" customHeight="1" x14ac:dyDescent="0.2">
      <c r="A10" s="107" t="s">
        <v>285</v>
      </c>
      <c r="B10" s="107"/>
      <c r="C10" s="107"/>
      <c r="D10" s="107"/>
      <c r="E10" s="107"/>
      <c r="F10" s="108" t="s">
        <v>209</v>
      </c>
      <c r="G10" s="108"/>
      <c r="H10" s="108"/>
      <c r="I10" s="108"/>
      <c r="J10" s="108"/>
      <c r="K10" s="108"/>
      <c r="L10" s="108"/>
    </row>
    <row r="11" spans="1:93" ht="12.75" customHeight="1" x14ac:dyDescent="0.2">
      <c r="A11" s="13"/>
      <c r="B11" s="13"/>
      <c r="C11" s="13"/>
      <c r="D11" s="13"/>
      <c r="E11" s="13"/>
      <c r="F11" s="14"/>
      <c r="G11" s="14"/>
      <c r="H11" s="14"/>
      <c r="I11" s="14"/>
      <c r="J11" s="14"/>
      <c r="K11" s="14"/>
      <c r="L11" s="14"/>
    </row>
    <row r="12" spans="1:93" ht="12.75" customHeight="1" x14ac:dyDescent="0.2">
      <c r="A12" s="107" t="s">
        <v>286</v>
      </c>
      <c r="B12" s="107"/>
      <c r="C12" s="107"/>
      <c r="D12" s="107"/>
      <c r="E12" s="107"/>
      <c r="F12" s="108" t="s">
        <v>323</v>
      </c>
      <c r="G12" s="108"/>
      <c r="H12" s="108"/>
      <c r="I12" s="108"/>
      <c r="J12" s="108"/>
      <c r="K12" s="108"/>
      <c r="L12" s="108"/>
    </row>
    <row r="13" spans="1:93" ht="12.75" customHeight="1" x14ac:dyDescent="0.2">
      <c r="A13" s="13"/>
      <c r="B13" s="13"/>
      <c r="C13" s="13"/>
      <c r="D13" s="13"/>
      <c r="E13" s="13"/>
      <c r="F13" s="14"/>
      <c r="G13" s="14"/>
      <c r="H13" s="14"/>
      <c r="I13" s="14"/>
      <c r="J13" s="14"/>
      <c r="K13" s="14"/>
      <c r="L13" s="14"/>
    </row>
    <row r="14" spans="1:93" ht="12.75" customHeight="1" x14ac:dyDescent="0.2">
      <c r="A14" s="107" t="s">
        <v>287</v>
      </c>
      <c r="B14" s="107"/>
      <c r="C14" s="107"/>
      <c r="D14" s="107"/>
      <c r="E14" s="107"/>
      <c r="F14" s="108" t="str">
        <f>IF(Source!CZ12 &lt;&gt; "", Source!CZ12, "")</f>
        <v/>
      </c>
      <c r="G14" s="108"/>
      <c r="H14" s="108"/>
      <c r="I14" s="108"/>
      <c r="J14" s="108"/>
      <c r="K14" s="108"/>
      <c r="L14" s="108"/>
    </row>
    <row r="15" spans="1:93" ht="12.75" customHeight="1" x14ac:dyDescent="0.2">
      <c r="A15" s="13"/>
      <c r="B15" s="13"/>
      <c r="C15" s="13"/>
      <c r="D15" s="13"/>
      <c r="E15" s="13"/>
      <c r="F15" s="14"/>
      <c r="G15" s="14"/>
      <c r="H15" s="14"/>
      <c r="I15" s="14"/>
      <c r="J15" s="14"/>
      <c r="K15" s="14"/>
      <c r="L15" s="12"/>
    </row>
    <row r="16" spans="1:93" ht="12.75" customHeight="1" x14ac:dyDescent="0.2">
      <c r="A16" s="107" t="s">
        <v>288</v>
      </c>
      <c r="B16" s="107"/>
      <c r="C16" s="107"/>
      <c r="D16" s="107"/>
      <c r="E16" s="107"/>
      <c r="F16" s="108" t="str">
        <f>IF(Source!DA12 &lt;&gt; "", Source!DA12, "")</f>
        <v/>
      </c>
      <c r="G16" s="108"/>
      <c r="H16" s="108"/>
      <c r="I16" s="108"/>
      <c r="J16" s="108"/>
      <c r="K16" s="108"/>
      <c r="L16" s="108"/>
    </row>
    <row r="17" spans="1:92" ht="12.75" customHeight="1" x14ac:dyDescent="0.2">
      <c r="A17" s="15"/>
      <c r="B17" s="15"/>
      <c r="C17" s="15"/>
      <c r="D17" s="15"/>
      <c r="E17" s="15"/>
      <c r="F17" s="16"/>
      <c r="G17" s="16"/>
      <c r="H17" s="16"/>
      <c r="I17" s="16"/>
      <c r="J17" s="16"/>
      <c r="K17" s="16"/>
      <c r="L17" s="16"/>
    </row>
    <row r="18" spans="1:92" ht="12.75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92" ht="15.75" customHeight="1" x14ac:dyDescent="0.25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</row>
    <row r="20" spans="1:92" ht="14.25" customHeight="1" x14ac:dyDescent="0.2">
      <c r="A20" s="100" t="s">
        <v>289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</row>
    <row r="21" spans="1:92" ht="14.2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92" ht="15.75" x14ac:dyDescent="0.25">
      <c r="A22" s="103" t="str">
        <f>IF(Source!G12&lt;&gt;"Новый объект", Source!G12, "")</f>
        <v>Ремонт поврежденного КЛ-10 кВ в ячейке РУ-10 кВ ТП 1515 в направлении Тп-480 по адресу:М.О.г.Домодедово,мкр.Западный,Каширское шоссе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CN22" s="38" t="str">
        <f>IF(Source!G12&lt;&gt;"Новый объект", Source!G12, "")</f>
        <v>Ремонт поврежденного КЛ-10 кВ в ячейке РУ-10 кВ ТП 1515 в направлении Тп-480 по адресу:М.О.г.Домодедово,мкр.Западный,Каширское шоссе</v>
      </c>
    </row>
    <row r="23" spans="1:92" ht="14.25" customHeight="1" x14ac:dyDescent="0.2">
      <c r="A23" s="100" t="s">
        <v>290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</row>
    <row r="24" spans="1:92" ht="14.25" customHeight="1" x14ac:dyDescent="0.2">
      <c r="A24" s="17"/>
      <c r="B24" s="17"/>
      <c r="C24" s="17"/>
      <c r="D24" s="17"/>
      <c r="E24" s="17"/>
      <c r="F24" s="18"/>
      <c r="G24" s="18"/>
      <c r="H24" s="18"/>
      <c r="I24" s="18"/>
      <c r="J24" s="18"/>
      <c r="K24" s="18"/>
      <c r="L24" s="18"/>
    </row>
    <row r="25" spans="1:92" ht="15.75" customHeight="1" x14ac:dyDescent="0.25">
      <c r="A25" s="104" t="str">
        <f>CONCATENATE("ЛОКАЛЬНЫЙ СМЕТНЫЙ РАСЧЕТ № 1")</f>
        <v>ЛОКАЛЬНЫЙ СМЕТНЫЙ РАСЧЕТ № 1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92" ht="15" customHeight="1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19"/>
    </row>
    <row r="27" spans="1:92" ht="18" customHeight="1" x14ac:dyDescent="0.25">
      <c r="A27" s="105" t="str">
        <f>IF(Source!G20&lt;&gt;"Новая локальная смета", Source!G20, "")</f>
        <v/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</row>
    <row r="28" spans="1:92" ht="14.25" customHeight="1" x14ac:dyDescent="0.2">
      <c r="A28" s="100" t="s">
        <v>291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</row>
    <row r="29" spans="1:92" ht="14.2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92" ht="14.2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92" ht="12.75" customHeight="1" x14ac:dyDescent="0.2">
      <c r="A31" s="10" t="s">
        <v>292</v>
      </c>
      <c r="B31" s="10"/>
      <c r="C31" s="22" t="s">
        <v>324</v>
      </c>
      <c r="D31" s="10" t="s">
        <v>293</v>
      </c>
      <c r="E31" s="10"/>
      <c r="F31" s="10"/>
      <c r="G31" s="10"/>
      <c r="H31" s="10"/>
      <c r="I31" s="10"/>
      <c r="J31" s="10"/>
      <c r="K31" s="10"/>
      <c r="L31" s="10"/>
    </row>
    <row r="32" spans="1:92" ht="12.75" customHeight="1" x14ac:dyDescent="0.2">
      <c r="A32" s="10"/>
      <c r="B32" s="10"/>
      <c r="C32" s="23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12.75" customHeight="1" x14ac:dyDescent="0.2">
      <c r="A33" s="10" t="s">
        <v>294</v>
      </c>
      <c r="B33" s="10"/>
      <c r="C33" s="106"/>
      <c r="D33" s="106"/>
      <c r="E33" s="106"/>
      <c r="F33" s="106"/>
      <c r="G33" s="106"/>
      <c r="H33" s="106"/>
      <c r="I33" s="106"/>
      <c r="J33" s="106"/>
      <c r="K33" s="106"/>
      <c r="L33" s="106"/>
    </row>
    <row r="34" spans="1:12" ht="12.75" customHeight="1" x14ac:dyDescent="0.2">
      <c r="A34" s="24"/>
      <c r="B34" s="25"/>
      <c r="C34" s="100" t="s">
        <v>295</v>
      </c>
      <c r="D34" s="100"/>
      <c r="E34" s="100"/>
      <c r="F34" s="100"/>
      <c r="G34" s="100"/>
      <c r="H34" s="100"/>
      <c r="I34" s="100"/>
      <c r="J34" s="100"/>
      <c r="K34" s="100"/>
      <c r="L34" s="100"/>
    </row>
    <row r="35" spans="1:12" ht="14.2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ht="14.25" customHeight="1" x14ac:dyDescent="0.2">
      <c r="A36" s="26" t="s">
        <v>325</v>
      </c>
      <c r="B36" s="17"/>
      <c r="C36" s="17"/>
      <c r="D36" s="27"/>
      <c r="E36" s="17"/>
      <c r="F36" s="17"/>
      <c r="G36" s="17"/>
      <c r="H36" s="17"/>
      <c r="I36" s="17"/>
      <c r="J36" s="17"/>
      <c r="K36" s="17"/>
      <c r="L36" s="17"/>
    </row>
    <row r="37" spans="1:12" ht="14.2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t="14.25" customHeight="1" x14ac:dyDescent="0.2">
      <c r="A38" s="26" t="s">
        <v>296</v>
      </c>
      <c r="B38" s="17"/>
      <c r="C38" s="101">
        <f>C41+C42+C43+C44</f>
        <v>62.44</v>
      </c>
      <c r="D38" s="102"/>
      <c r="E38" s="10" t="s">
        <v>297</v>
      </c>
      <c r="F38" s="15"/>
      <c r="G38" s="15"/>
      <c r="H38" s="15"/>
      <c r="I38" s="15"/>
      <c r="J38" s="15"/>
      <c r="K38" s="15"/>
      <c r="L38" s="17"/>
    </row>
    <row r="39" spans="1:12" ht="14.25" customHeight="1" x14ac:dyDescent="0.2">
      <c r="A39" s="26"/>
      <c r="B39" s="17"/>
      <c r="C39" s="67"/>
      <c r="D39" s="28"/>
      <c r="E39" s="10"/>
      <c r="F39" s="15"/>
      <c r="G39" s="10" t="s">
        <v>298</v>
      </c>
      <c r="H39" s="17"/>
      <c r="I39" s="10"/>
      <c r="J39" s="10"/>
      <c r="K39" s="69">
        <f>ROUND(SUM(AR52:AR361)/1000, 2)</f>
        <v>27.26</v>
      </c>
      <c r="L39" s="10" t="s">
        <v>297</v>
      </c>
    </row>
    <row r="40" spans="1:12" ht="14.25" customHeight="1" x14ac:dyDescent="0.2">
      <c r="A40" s="17"/>
      <c r="B40" s="29" t="s">
        <v>299</v>
      </c>
      <c r="C40" s="68"/>
      <c r="D40" s="17"/>
      <c r="E40" s="10"/>
      <c r="F40" s="15"/>
      <c r="G40" s="10" t="s">
        <v>300</v>
      </c>
      <c r="H40" s="17"/>
      <c r="I40" s="10"/>
      <c r="J40" s="10"/>
      <c r="K40" s="69">
        <f>ROUND(SUM(AT52:AT361)/1000, 2)</f>
        <v>0.01</v>
      </c>
      <c r="L40" s="10" t="s">
        <v>297</v>
      </c>
    </row>
    <row r="41" spans="1:12" ht="14.25" customHeight="1" x14ac:dyDescent="0.2">
      <c r="A41" s="17"/>
      <c r="B41" s="26" t="s">
        <v>301</v>
      </c>
      <c r="C41" s="101">
        <f>ROUND((Source!F155)/1000, 2)</f>
        <v>0</v>
      </c>
      <c r="D41" s="102"/>
      <c r="E41" s="10" t="s">
        <v>297</v>
      </c>
      <c r="F41" s="15"/>
      <c r="G41" s="10" t="s">
        <v>302</v>
      </c>
      <c r="H41" s="17"/>
      <c r="I41" s="10"/>
      <c r="J41" s="28"/>
      <c r="K41" s="70">
        <f>Source!F160</f>
        <v>39.372160000000001</v>
      </c>
      <c r="L41" s="10" t="s">
        <v>213</v>
      </c>
    </row>
    <row r="42" spans="1:12" ht="14.25" customHeight="1" x14ac:dyDescent="0.2">
      <c r="A42" s="17"/>
      <c r="B42" s="26" t="s">
        <v>303</v>
      </c>
      <c r="C42" s="101">
        <f>ROUND((Source!F156)/1000, 2)</f>
        <v>8.73</v>
      </c>
      <c r="D42" s="102"/>
      <c r="E42" s="10" t="s">
        <v>297</v>
      </c>
      <c r="F42" s="15"/>
      <c r="G42" s="10" t="s">
        <v>304</v>
      </c>
      <c r="H42" s="17"/>
      <c r="I42" s="10"/>
      <c r="J42" s="30"/>
      <c r="K42" s="70">
        <f>Source!F161</f>
        <v>1.14E-2</v>
      </c>
      <c r="L42" s="10" t="s">
        <v>213</v>
      </c>
    </row>
    <row r="43" spans="1:12" ht="14.25" customHeight="1" x14ac:dyDescent="0.2">
      <c r="A43" s="17"/>
      <c r="B43" s="26" t="s">
        <v>305</v>
      </c>
      <c r="C43" s="101">
        <f>ROUND((Source!F147)/1000, 2)</f>
        <v>0</v>
      </c>
      <c r="D43" s="102"/>
      <c r="E43" s="10" t="s">
        <v>297</v>
      </c>
      <c r="F43" s="15"/>
      <c r="G43" s="10" t="s">
        <v>306</v>
      </c>
      <c r="H43" s="10"/>
      <c r="I43" s="10"/>
      <c r="J43" s="10"/>
      <c r="K43" s="15">
        <f>Source!I20</f>
        <v>0</v>
      </c>
      <c r="L43" s="10" t="str">
        <f>Source!H20</f>
        <v/>
      </c>
    </row>
    <row r="44" spans="1:12" ht="14.25" customHeight="1" x14ac:dyDescent="0.2">
      <c r="A44" s="17"/>
      <c r="B44" s="26" t="s">
        <v>307</v>
      </c>
      <c r="C44" s="101">
        <f>ROUND((Source!F157)/1000, 2)</f>
        <v>53.71</v>
      </c>
      <c r="D44" s="102"/>
      <c r="E44" s="10" t="s">
        <v>297</v>
      </c>
      <c r="F44" s="15"/>
      <c r="G44" s="10" t="s">
        <v>308</v>
      </c>
      <c r="H44" s="10"/>
      <c r="I44" s="10"/>
      <c r="J44" s="10"/>
      <c r="K44" s="15"/>
      <c r="L44" s="10" t="s">
        <v>297</v>
      </c>
    </row>
    <row r="45" spans="1:12" ht="14.25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2" ht="12.75" customHeight="1" x14ac:dyDescent="0.2">
      <c r="A46" s="88" t="s">
        <v>309</v>
      </c>
      <c r="B46" s="88" t="s">
        <v>310</v>
      </c>
      <c r="C46" s="88" t="s">
        <v>311</v>
      </c>
      <c r="D46" s="88" t="s">
        <v>312</v>
      </c>
      <c r="E46" s="91" t="s">
        <v>313</v>
      </c>
      <c r="F46" s="92"/>
      <c r="G46" s="93"/>
      <c r="H46" s="91" t="s">
        <v>314</v>
      </c>
      <c r="I46" s="92"/>
      <c r="J46" s="92"/>
      <c r="K46" s="92"/>
      <c r="L46" s="93"/>
    </row>
    <row r="47" spans="1:12" ht="12.75" customHeight="1" x14ac:dyDescent="0.2">
      <c r="A47" s="89"/>
      <c r="B47" s="89"/>
      <c r="C47" s="89"/>
      <c r="D47" s="89"/>
      <c r="E47" s="94"/>
      <c r="F47" s="95"/>
      <c r="G47" s="96"/>
      <c r="H47" s="94"/>
      <c r="I47" s="95"/>
      <c r="J47" s="95"/>
      <c r="K47" s="95"/>
      <c r="L47" s="96"/>
    </row>
    <row r="48" spans="1:12" ht="12.75" customHeight="1" x14ac:dyDescent="0.2">
      <c r="A48" s="89"/>
      <c r="B48" s="89"/>
      <c r="C48" s="89"/>
      <c r="D48" s="89"/>
      <c r="E48" s="94"/>
      <c r="F48" s="95"/>
      <c r="G48" s="96"/>
      <c r="H48" s="94"/>
      <c r="I48" s="95"/>
      <c r="J48" s="95"/>
      <c r="K48" s="95"/>
      <c r="L48" s="96"/>
    </row>
    <row r="49" spans="1:83" ht="12.75" customHeight="1" x14ac:dyDescent="0.2">
      <c r="A49" s="89"/>
      <c r="B49" s="89"/>
      <c r="C49" s="89"/>
      <c r="D49" s="89"/>
      <c r="E49" s="97"/>
      <c r="F49" s="98"/>
      <c r="G49" s="99"/>
      <c r="H49" s="97"/>
      <c r="I49" s="98"/>
      <c r="J49" s="98"/>
      <c r="K49" s="98"/>
      <c r="L49" s="99"/>
    </row>
    <row r="50" spans="1:83" ht="51" customHeight="1" x14ac:dyDescent="0.2">
      <c r="A50" s="90"/>
      <c r="B50" s="90"/>
      <c r="C50" s="90"/>
      <c r="D50" s="90"/>
      <c r="E50" s="32" t="s">
        <v>315</v>
      </c>
      <c r="F50" s="32" t="s">
        <v>316</v>
      </c>
      <c r="G50" s="33" t="s">
        <v>317</v>
      </c>
      <c r="H50" s="32" t="s">
        <v>318</v>
      </c>
      <c r="I50" s="32" t="s">
        <v>319</v>
      </c>
      <c r="J50" s="32" t="s">
        <v>320</v>
      </c>
      <c r="K50" s="32" t="s">
        <v>316</v>
      </c>
      <c r="L50" s="32" t="s">
        <v>321</v>
      </c>
    </row>
    <row r="51" spans="1:83" ht="14.25" customHeight="1" x14ac:dyDescent="0.2">
      <c r="A51" s="34">
        <v>1</v>
      </c>
      <c r="B51" s="34">
        <v>2</v>
      </c>
      <c r="C51" s="34">
        <v>3</v>
      </c>
      <c r="D51" s="34">
        <v>4</v>
      </c>
      <c r="E51" s="34">
        <v>5</v>
      </c>
      <c r="F51" s="34">
        <v>6</v>
      </c>
      <c r="G51" s="34">
        <v>7</v>
      </c>
      <c r="H51" s="34">
        <v>8</v>
      </c>
      <c r="I51" s="34">
        <v>9</v>
      </c>
      <c r="J51" s="34">
        <v>10</v>
      </c>
      <c r="K51" s="36">
        <v>11</v>
      </c>
      <c r="L51" s="36">
        <v>12</v>
      </c>
    </row>
    <row r="53" spans="1:83" ht="16.5" x14ac:dyDescent="0.2">
      <c r="A53" s="86" t="s">
        <v>326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</row>
    <row r="54" spans="1:83" ht="57" x14ac:dyDescent="0.2">
      <c r="A54" s="39" t="s">
        <v>17</v>
      </c>
      <c r="B54" s="41" t="s">
        <v>327</v>
      </c>
      <c r="C54" s="41" t="str">
        <f>Source!G28</f>
        <v>Кабель до 35 кВ по установленным конструкциям и лоткам с креплением по всей длине, масса 1 м кабеля: свыше 3 до 6 кг</v>
      </c>
      <c r="D54" s="42" t="str">
        <f>Source!H28</f>
        <v>100 м</v>
      </c>
      <c r="E54" s="43">
        <f>Source!K28</f>
        <v>0.02</v>
      </c>
      <c r="F54" s="43"/>
      <c r="G54" s="43">
        <f>Source!I28</f>
        <v>0.02</v>
      </c>
      <c r="H54" s="45"/>
      <c r="I54" s="44"/>
      <c r="J54" s="45"/>
      <c r="K54" s="44"/>
      <c r="L54" s="45"/>
    </row>
    <row r="55" spans="1:83" ht="25.5" x14ac:dyDescent="0.2">
      <c r="B55" s="46" t="s">
        <v>273</v>
      </c>
      <c r="C55" s="87" t="s">
        <v>328</v>
      </c>
      <c r="D55" s="87"/>
      <c r="E55" s="87"/>
      <c r="F55" s="87"/>
      <c r="G55" s="87"/>
      <c r="H55" s="87"/>
      <c r="I55" s="87"/>
      <c r="J55" s="87"/>
      <c r="K55" s="87"/>
      <c r="L55" s="87"/>
    </row>
    <row r="56" spans="1:83" ht="25.5" x14ac:dyDescent="0.2">
      <c r="B56" s="46" t="s">
        <v>277</v>
      </c>
      <c r="C56" s="87" t="s">
        <v>329</v>
      </c>
      <c r="D56" s="87"/>
      <c r="E56" s="87"/>
      <c r="F56" s="87"/>
      <c r="G56" s="87"/>
      <c r="H56" s="87"/>
      <c r="I56" s="87"/>
      <c r="J56" s="87"/>
      <c r="K56" s="87"/>
      <c r="L56" s="87"/>
    </row>
    <row r="57" spans="1:83" x14ac:dyDescent="0.2">
      <c r="C57" s="47" t="str">
        <f>"Объем: "&amp;Source!I28&amp;"=2/"&amp;"100"</f>
        <v>Объем: 0,02=2/100</v>
      </c>
    </row>
    <row r="58" spans="1:83" ht="15" x14ac:dyDescent="0.2">
      <c r="A58" s="40"/>
      <c r="B58" s="43">
        <v>1</v>
      </c>
      <c r="C58" s="40" t="s">
        <v>330</v>
      </c>
      <c r="D58" s="42" t="s">
        <v>213</v>
      </c>
      <c r="E58" s="48"/>
      <c r="F58" s="43"/>
      <c r="G58" s="43">
        <f>Source!U28</f>
        <v>0.80135999999999996</v>
      </c>
      <c r="H58" s="43"/>
      <c r="I58" s="43"/>
      <c r="J58" s="43"/>
      <c r="K58" s="43"/>
      <c r="L58" s="49">
        <f>SUM(L59:L59)-SUMIF(CE59:CE59, 1, L59:L59)</f>
        <v>422.8</v>
      </c>
    </row>
    <row r="59" spans="1:83" ht="14.25" x14ac:dyDescent="0.2">
      <c r="A59" s="41"/>
      <c r="B59" s="41" t="s">
        <v>211</v>
      </c>
      <c r="C59" s="41" t="s">
        <v>212</v>
      </c>
      <c r="D59" s="42" t="s">
        <v>213</v>
      </c>
      <c r="E59" s="43">
        <v>29.68</v>
      </c>
      <c r="F59" s="43">
        <f>ROUND((0.15+0.2+1),7)</f>
        <v>1.35</v>
      </c>
      <c r="G59" s="43">
        <f>SmtRes!CX1</f>
        <v>0.80135999999999996</v>
      </c>
      <c r="H59" s="45"/>
      <c r="I59" s="44"/>
      <c r="J59" s="45">
        <f>SmtRes!CZ1</f>
        <v>527.6</v>
      </c>
      <c r="K59" s="44"/>
      <c r="L59" s="45">
        <f>SmtRes!DI1</f>
        <v>422.8</v>
      </c>
    </row>
    <row r="60" spans="1:83" ht="15" x14ac:dyDescent="0.2">
      <c r="A60" s="40"/>
      <c r="B60" s="43">
        <v>2</v>
      </c>
      <c r="C60" s="40" t="s">
        <v>331</v>
      </c>
      <c r="D60" s="42"/>
      <c r="E60" s="48"/>
      <c r="F60" s="43"/>
      <c r="G60" s="43"/>
      <c r="H60" s="43"/>
      <c r="I60" s="43"/>
      <c r="J60" s="43"/>
      <c r="K60" s="43"/>
      <c r="L60" s="49">
        <f>SUM(L61:L67)-SUMIF(CE61:CE67, 1, L61:L67)</f>
        <v>16.479999999999997</v>
      </c>
    </row>
    <row r="61" spans="1:83" ht="15" x14ac:dyDescent="0.2">
      <c r="A61" s="40"/>
      <c r="B61" s="43"/>
      <c r="C61" s="40" t="s">
        <v>334</v>
      </c>
      <c r="D61" s="42" t="s">
        <v>213</v>
      </c>
      <c r="E61" s="48"/>
      <c r="F61" s="43"/>
      <c r="G61" s="43">
        <f>Source!V28</f>
        <v>1.0800000000000001E-2</v>
      </c>
      <c r="H61" s="43"/>
      <c r="I61" s="43"/>
      <c r="J61" s="43"/>
      <c r="K61" s="43"/>
      <c r="L61" s="49">
        <f>SUMIF(CE62:CE67, 1, L62:L67)</f>
        <v>6.82</v>
      </c>
      <c r="CE61">
        <v>1</v>
      </c>
    </row>
    <row r="62" spans="1:83" ht="28.5" x14ac:dyDescent="0.2">
      <c r="A62" s="41"/>
      <c r="B62" s="41" t="s">
        <v>216</v>
      </c>
      <c r="C62" s="41" t="s">
        <v>218</v>
      </c>
      <c r="D62" s="42" t="s">
        <v>219</v>
      </c>
      <c r="E62" s="43">
        <v>0.2</v>
      </c>
      <c r="F62" s="43">
        <f t="shared" ref="F62:F67" si="0">ROUND((0.15+0.2+1),7)</f>
        <v>1.35</v>
      </c>
      <c r="G62" s="43">
        <f>SmtRes!CX3</f>
        <v>5.4000000000000003E-3</v>
      </c>
      <c r="H62" s="45"/>
      <c r="I62" s="44"/>
      <c r="J62" s="45">
        <f>SmtRes!CZ3</f>
        <v>1626.29</v>
      </c>
      <c r="K62" s="44"/>
      <c r="L62" s="45">
        <f>SmtRes!DG3</f>
        <v>8.7799999999999994</v>
      </c>
    </row>
    <row r="63" spans="1:83" ht="28.5" x14ac:dyDescent="0.2">
      <c r="A63" s="41"/>
      <c r="B63" s="41" t="s">
        <v>220</v>
      </c>
      <c r="C63" s="41" t="s">
        <v>332</v>
      </c>
      <c r="D63" s="42" t="s">
        <v>213</v>
      </c>
      <c r="E63" s="43">
        <f>SmtRes!DO3*SmtRes!AT3</f>
        <v>0.2</v>
      </c>
      <c r="F63" s="43">
        <f t="shared" si="0"/>
        <v>1.35</v>
      </c>
      <c r="G63" s="43">
        <f>ROUND(E63*F63*G54, 7)</f>
        <v>5.4000000000000003E-3</v>
      </c>
      <c r="H63" s="45"/>
      <c r="I63" s="44"/>
      <c r="J63" s="45">
        <f>ROUND(SmtRes!AG3/SmtRes!DO3, 2)</f>
        <v>724.95</v>
      </c>
      <c r="K63" s="44"/>
      <c r="L63" s="45">
        <f>SmtRes!DH3</f>
        <v>3.91</v>
      </c>
      <c r="CE63">
        <v>1</v>
      </c>
    </row>
    <row r="64" spans="1:83" ht="28.5" x14ac:dyDescent="0.2">
      <c r="A64" s="41"/>
      <c r="B64" s="41" t="s">
        <v>221</v>
      </c>
      <c r="C64" s="41" t="s">
        <v>223</v>
      </c>
      <c r="D64" s="42" t="s">
        <v>219</v>
      </c>
      <c r="E64" s="43">
        <v>6.9</v>
      </c>
      <c r="F64" s="43">
        <f t="shared" si="0"/>
        <v>1.35</v>
      </c>
      <c r="G64" s="43">
        <f>SmtRes!CX4</f>
        <v>0.18629999999999999</v>
      </c>
      <c r="H64" s="45">
        <f>SmtRes!CZ4</f>
        <v>1.75</v>
      </c>
      <c r="I64" s="44">
        <f>SmtRes!AJ4</f>
        <v>1.58</v>
      </c>
      <c r="J64" s="45">
        <f>ROUND(H64*I64, 2)</f>
        <v>2.77</v>
      </c>
      <c r="K64" s="44"/>
      <c r="L64" s="45">
        <f>SmtRes!DG4</f>
        <v>0.52</v>
      </c>
    </row>
    <row r="65" spans="1:83" ht="28.5" x14ac:dyDescent="0.2">
      <c r="A65" s="41"/>
      <c r="B65" s="41" t="s">
        <v>224</v>
      </c>
      <c r="C65" s="41" t="s">
        <v>226</v>
      </c>
      <c r="D65" s="42" t="s">
        <v>219</v>
      </c>
      <c r="E65" s="43">
        <v>6.9</v>
      </c>
      <c r="F65" s="43">
        <f t="shared" si="0"/>
        <v>1.35</v>
      </c>
      <c r="G65" s="43">
        <f>SmtRes!CX5</f>
        <v>0.18629999999999999</v>
      </c>
      <c r="H65" s="45">
        <f>SmtRes!CZ5</f>
        <v>13.44</v>
      </c>
      <c r="I65" s="44">
        <f>SmtRes!AJ5</f>
        <v>1.48</v>
      </c>
      <c r="J65" s="45">
        <f>ROUND(H65*I65, 2)</f>
        <v>19.89</v>
      </c>
      <c r="K65" s="44"/>
      <c r="L65" s="45">
        <f>SmtRes!DG5</f>
        <v>3.71</v>
      </c>
    </row>
    <row r="66" spans="1:83" ht="28.5" x14ac:dyDescent="0.2">
      <c r="A66" s="41"/>
      <c r="B66" s="41" t="s">
        <v>227</v>
      </c>
      <c r="C66" s="41" t="s">
        <v>229</v>
      </c>
      <c r="D66" s="42" t="s">
        <v>219</v>
      </c>
      <c r="E66" s="43">
        <v>0.2</v>
      </c>
      <c r="F66" s="43">
        <f t="shared" si="0"/>
        <v>1.35</v>
      </c>
      <c r="G66" s="43">
        <f>SmtRes!CX6</f>
        <v>5.4000000000000003E-3</v>
      </c>
      <c r="H66" s="45"/>
      <c r="I66" s="44"/>
      <c r="J66" s="45">
        <f>SmtRes!CZ6</f>
        <v>641.70000000000005</v>
      </c>
      <c r="K66" s="44"/>
      <c r="L66" s="45">
        <f>SmtRes!DG6</f>
        <v>3.47</v>
      </c>
    </row>
    <row r="67" spans="1:83" ht="28.5" x14ac:dyDescent="0.2">
      <c r="A67" s="41"/>
      <c r="B67" s="41" t="s">
        <v>230</v>
      </c>
      <c r="C67" s="41" t="s">
        <v>333</v>
      </c>
      <c r="D67" s="42" t="s">
        <v>213</v>
      </c>
      <c r="E67" s="43">
        <f>SmtRes!DO6*SmtRes!AT6</f>
        <v>0.2</v>
      </c>
      <c r="F67" s="43">
        <f t="shared" si="0"/>
        <v>1.35</v>
      </c>
      <c r="G67" s="43">
        <f>ROUND(E67*F67*G54, 7)</f>
        <v>5.4000000000000003E-3</v>
      </c>
      <c r="H67" s="45"/>
      <c r="I67" s="44"/>
      <c r="J67" s="45">
        <f>ROUND(SmtRes!AG6/SmtRes!DO6, 2)</f>
        <v>539.69000000000005</v>
      </c>
      <c r="K67" s="44"/>
      <c r="L67" s="45">
        <f>SmtRes!DH6</f>
        <v>2.91</v>
      </c>
      <c r="CE67">
        <v>1</v>
      </c>
    </row>
    <row r="68" spans="1:83" ht="15" x14ac:dyDescent="0.2">
      <c r="A68" s="40"/>
      <c r="B68" s="43">
        <v>4</v>
      </c>
      <c r="C68" s="40" t="s">
        <v>335</v>
      </c>
      <c r="D68" s="42"/>
      <c r="E68" s="48"/>
      <c r="F68" s="43"/>
      <c r="G68" s="43"/>
      <c r="H68" s="43"/>
      <c r="I68" s="43"/>
      <c r="J68" s="43"/>
      <c r="K68" s="43"/>
      <c r="L68" s="49">
        <f>SUM(L69:L72)-SUMIF(CE69:CE72, 1, L69:L72)</f>
        <v>10.91</v>
      </c>
    </row>
    <row r="69" spans="1:83" ht="57" x14ac:dyDescent="0.2">
      <c r="A69" s="41"/>
      <c r="B69" s="41" t="s">
        <v>231</v>
      </c>
      <c r="C69" s="41" t="s">
        <v>233</v>
      </c>
      <c r="D69" s="42" t="s">
        <v>234</v>
      </c>
      <c r="E69" s="43">
        <v>0.245</v>
      </c>
      <c r="F69" s="43"/>
      <c r="G69" s="43">
        <f>SmtRes!CX7</f>
        <v>4.8999999999999998E-3</v>
      </c>
      <c r="H69" s="45">
        <f>SmtRes!CZ7</f>
        <v>37.71</v>
      </c>
      <c r="I69" s="44">
        <f>SmtRes!AI7</f>
        <v>1.53</v>
      </c>
      <c r="J69" s="45">
        <f>ROUND(H69*I69, 2)</f>
        <v>57.7</v>
      </c>
      <c r="K69" s="44"/>
      <c r="L69" s="45">
        <f>SmtRes!DF7</f>
        <v>0.28000000000000003</v>
      </c>
    </row>
    <row r="70" spans="1:83" ht="57" x14ac:dyDescent="0.2">
      <c r="A70" s="41"/>
      <c r="B70" s="41" t="s">
        <v>235</v>
      </c>
      <c r="C70" s="41" t="s">
        <v>237</v>
      </c>
      <c r="D70" s="42" t="s">
        <v>238</v>
      </c>
      <c r="E70" s="43">
        <v>6.2E-4</v>
      </c>
      <c r="F70" s="43"/>
      <c r="G70" s="43">
        <f>SmtRes!CX8</f>
        <v>1.24E-5</v>
      </c>
      <c r="H70" s="45">
        <f>SmtRes!CZ8</f>
        <v>99190.96</v>
      </c>
      <c r="I70" s="44">
        <f>SmtRes!AI8</f>
        <v>1.29</v>
      </c>
      <c r="J70" s="45">
        <f>ROUND(H70*I70, 2)</f>
        <v>127956.34</v>
      </c>
      <c r="K70" s="44"/>
      <c r="L70" s="45">
        <f>SmtRes!DF8</f>
        <v>1.59</v>
      </c>
    </row>
    <row r="71" spans="1:83" ht="28.5" x14ac:dyDescent="0.2">
      <c r="A71" s="41"/>
      <c r="B71" s="41" t="s">
        <v>239</v>
      </c>
      <c r="C71" s="41" t="s">
        <v>241</v>
      </c>
      <c r="D71" s="42" t="s">
        <v>242</v>
      </c>
      <c r="E71" s="43">
        <v>0.25</v>
      </c>
      <c r="F71" s="43"/>
      <c r="G71" s="43">
        <f>SmtRes!CX9</f>
        <v>5.0000000000000001E-3</v>
      </c>
      <c r="H71" s="45">
        <f>SmtRes!CZ9</f>
        <v>931.11</v>
      </c>
      <c r="I71" s="44">
        <f>SmtRes!AI9</f>
        <v>1.61</v>
      </c>
      <c r="J71" s="45">
        <f>ROUND(H71*I71, 2)</f>
        <v>1499.09</v>
      </c>
      <c r="K71" s="44"/>
      <c r="L71" s="45">
        <f>SmtRes!DF9</f>
        <v>7.5</v>
      </c>
    </row>
    <row r="72" spans="1:83" ht="14.25" x14ac:dyDescent="0.2">
      <c r="A72" s="41"/>
      <c r="B72" s="41" t="s">
        <v>243</v>
      </c>
      <c r="C72" s="50" t="s">
        <v>245</v>
      </c>
      <c r="D72" s="51" t="s">
        <v>238</v>
      </c>
      <c r="E72" s="52">
        <v>7.2000000000000005E-4</v>
      </c>
      <c r="F72" s="52"/>
      <c r="G72" s="52">
        <f>SmtRes!CX10</f>
        <v>1.4399999999999999E-5</v>
      </c>
      <c r="H72" s="53">
        <f>SmtRes!CZ10</f>
        <v>82698.14</v>
      </c>
      <c r="I72" s="54">
        <f>SmtRes!AI10</f>
        <v>1.29</v>
      </c>
      <c r="J72" s="53">
        <f>ROUND(H72*I72, 2)</f>
        <v>106680.6</v>
      </c>
      <c r="K72" s="54"/>
      <c r="L72" s="53">
        <f>SmtRes!DF10</f>
        <v>1.54</v>
      </c>
    </row>
    <row r="73" spans="1:83" ht="15" x14ac:dyDescent="0.2">
      <c r="A73" s="41"/>
      <c r="B73" s="41"/>
      <c r="C73" s="56" t="s">
        <v>336</v>
      </c>
      <c r="D73" s="42"/>
      <c r="E73" s="43"/>
      <c r="F73" s="43"/>
      <c r="G73" s="43"/>
      <c r="H73" s="45"/>
      <c r="I73" s="44"/>
      <c r="J73" s="45"/>
      <c r="K73" s="44"/>
      <c r="L73" s="45">
        <f>L58+L60+L61+L68</f>
        <v>457.01000000000005</v>
      </c>
    </row>
    <row r="74" spans="1:83" ht="14.25" x14ac:dyDescent="0.2">
      <c r="A74" s="41"/>
      <c r="B74" s="41"/>
      <c r="C74" s="41" t="s">
        <v>337</v>
      </c>
      <c r="D74" s="42"/>
      <c r="E74" s="43"/>
      <c r="F74" s="43"/>
      <c r="G74" s="43"/>
      <c r="H74" s="45"/>
      <c r="I74" s="44"/>
      <c r="J74" s="45"/>
      <c r="K74" s="44"/>
      <c r="L74" s="45">
        <f>SUM(AR54:AR77)+SUM(AS54:AS77)+SUM(AT54:AT77)+SUM(AU54:AU77)+SUM(AV54:AV77)</f>
        <v>429.62</v>
      </c>
    </row>
    <row r="75" spans="1:83" ht="28.5" x14ac:dyDescent="0.2">
      <c r="A75" s="41"/>
      <c r="B75" s="41" t="s">
        <v>27</v>
      </c>
      <c r="C75" s="41" t="s">
        <v>338</v>
      </c>
      <c r="D75" s="42" t="s">
        <v>271</v>
      </c>
      <c r="E75" s="43">
        <f>Source!BZ28</f>
        <v>97</v>
      </c>
      <c r="F75" s="43"/>
      <c r="G75" s="43">
        <f>Source!AT28</f>
        <v>97</v>
      </c>
      <c r="H75" s="45"/>
      <c r="I75" s="44"/>
      <c r="J75" s="45"/>
      <c r="K75" s="44"/>
      <c r="L75" s="45">
        <f>SUM(AZ54:AZ77)</f>
        <v>416.73</v>
      </c>
    </row>
    <row r="76" spans="1:83" ht="28.5" x14ac:dyDescent="0.2">
      <c r="A76" s="50"/>
      <c r="B76" s="50" t="s">
        <v>28</v>
      </c>
      <c r="C76" s="50" t="s">
        <v>339</v>
      </c>
      <c r="D76" s="51" t="s">
        <v>271</v>
      </c>
      <c r="E76" s="52">
        <f>Source!CA28</f>
        <v>51</v>
      </c>
      <c r="F76" s="52"/>
      <c r="G76" s="52">
        <f>Source!AU28</f>
        <v>51</v>
      </c>
      <c r="H76" s="53"/>
      <c r="I76" s="54"/>
      <c r="J76" s="53"/>
      <c r="K76" s="54"/>
      <c r="L76" s="53">
        <f>SUM(BA54:BA77)</f>
        <v>219.11</v>
      </c>
    </row>
    <row r="77" spans="1:83" ht="15" x14ac:dyDescent="0.2">
      <c r="C77" s="84" t="s">
        <v>340</v>
      </c>
      <c r="D77" s="84"/>
      <c r="E77" s="84"/>
      <c r="F77" s="84"/>
      <c r="G77" s="84"/>
      <c r="H77" s="84"/>
      <c r="I77" s="85">
        <f>IF(E54&lt;&gt;0,K77/E54, 0)</f>
        <v>54642.500000000007</v>
      </c>
      <c r="J77" s="85"/>
      <c r="K77" s="85">
        <f>L58+L60+L68+L75+L76+L61</f>
        <v>1092.8500000000001</v>
      </c>
      <c r="L77" s="85"/>
      <c r="AD77">
        <f>ROUND((Source!AT28/100)*((ROUND(SUMIF(SmtRes!AQ1:'SmtRes'!AQ10,"=1",SmtRes!AD1:'SmtRes'!AD10)*Source!I28, 2)+ROUND(SUMIF(SmtRes!AQ1:'SmtRes'!AQ10,"=1",SmtRes!AC1:'SmtRes'!AC10)*Source!I28, 2))), 2)</f>
        <v>34.76</v>
      </c>
      <c r="AE77">
        <f>ROUND((Source!AU28/100)*((ROUND(SUMIF(SmtRes!AQ1:'SmtRes'!AQ10,"=1",SmtRes!AD1:'SmtRes'!AD10)*Source!I28, 2)+ROUND(SUMIF(SmtRes!AQ1:'SmtRes'!AQ10,"=1",SmtRes!AC1:'SmtRes'!AC10)*Source!I28, 2))), 2)</f>
        <v>18.28</v>
      </c>
      <c r="AN77" s="55">
        <f>L58+L60+L68+L75+L76+L61</f>
        <v>1092.8500000000001</v>
      </c>
      <c r="AO77" s="55">
        <f>L60</f>
        <v>16.479999999999997</v>
      </c>
      <c r="AQ77" t="s">
        <v>341</v>
      </c>
      <c r="AR77" s="55">
        <f>L58</f>
        <v>422.8</v>
      </c>
      <c r="AT77" s="55">
        <f>L61</f>
        <v>6.82</v>
      </c>
      <c r="AV77" t="s">
        <v>341</v>
      </c>
      <c r="AW77" s="55">
        <f>L68</f>
        <v>10.91</v>
      </c>
      <c r="AZ77">
        <f>Source!X28</f>
        <v>416.73</v>
      </c>
      <c r="BA77">
        <f>Source!Y28</f>
        <v>219.11</v>
      </c>
      <c r="CD77">
        <v>2</v>
      </c>
    </row>
    <row r="79" spans="1:83" ht="15" x14ac:dyDescent="0.2">
      <c r="A79" s="59"/>
      <c r="B79" s="60"/>
      <c r="C79" s="80" t="s">
        <v>342</v>
      </c>
      <c r="D79" s="80"/>
      <c r="E79" s="80"/>
      <c r="F79" s="80"/>
      <c r="G79" s="80"/>
      <c r="H79" s="80"/>
      <c r="I79" s="49"/>
      <c r="J79" s="59"/>
      <c r="K79" s="61"/>
      <c r="L79" s="49">
        <f>L81+L82+L88+L92</f>
        <v>457.01000000000005</v>
      </c>
    </row>
    <row r="80" spans="1:83" ht="14.25" x14ac:dyDescent="0.2">
      <c r="A80" s="57"/>
      <c r="B80" s="58"/>
      <c r="C80" s="81" t="s">
        <v>343</v>
      </c>
      <c r="D80" s="79"/>
      <c r="E80" s="79"/>
      <c r="F80" s="79"/>
      <c r="G80" s="79"/>
      <c r="H80" s="79"/>
      <c r="I80" s="45"/>
      <c r="J80" s="57"/>
      <c r="K80" s="43"/>
      <c r="L80" s="45"/>
    </row>
    <row r="81" spans="1:12" ht="14.25" x14ac:dyDescent="0.2">
      <c r="A81" s="57"/>
      <c r="B81" s="58"/>
      <c r="C81" s="79" t="s">
        <v>344</v>
      </c>
      <c r="D81" s="79"/>
      <c r="E81" s="79"/>
      <c r="F81" s="79"/>
      <c r="G81" s="79"/>
      <c r="H81" s="79"/>
      <c r="I81" s="45"/>
      <c r="J81" s="57"/>
      <c r="K81" s="43"/>
      <c r="L81" s="45">
        <f>SUM(AR53:AR77)</f>
        <v>422.8</v>
      </c>
    </row>
    <row r="82" spans="1:12" ht="14.25" hidden="1" x14ac:dyDescent="0.2">
      <c r="A82" s="57"/>
      <c r="B82" s="58"/>
      <c r="C82" s="79" t="s">
        <v>345</v>
      </c>
      <c r="D82" s="79"/>
      <c r="E82" s="79"/>
      <c r="F82" s="79"/>
      <c r="G82" s="79"/>
      <c r="H82" s="79"/>
      <c r="I82" s="45"/>
      <c r="J82" s="57"/>
      <c r="K82" s="43"/>
      <c r="L82" s="45">
        <f>L84+L87+L86</f>
        <v>23.299999999999997</v>
      </c>
    </row>
    <row r="83" spans="1:12" ht="14.25" hidden="1" x14ac:dyDescent="0.2">
      <c r="A83" s="57"/>
      <c r="B83" s="58"/>
      <c r="C83" s="81" t="s">
        <v>346</v>
      </c>
      <c r="D83" s="79"/>
      <c r="E83" s="79"/>
      <c r="F83" s="79"/>
      <c r="G83" s="79"/>
      <c r="H83" s="79"/>
      <c r="I83" s="45"/>
      <c r="J83" s="57"/>
      <c r="K83" s="43"/>
      <c r="L83" s="45"/>
    </row>
    <row r="84" spans="1:12" ht="14.25" x14ac:dyDescent="0.2">
      <c r="A84" s="57"/>
      <c r="B84" s="58"/>
      <c r="C84" s="79" t="s">
        <v>345</v>
      </c>
      <c r="D84" s="79"/>
      <c r="E84" s="79"/>
      <c r="F84" s="79"/>
      <c r="G84" s="79"/>
      <c r="H84" s="79"/>
      <c r="I84" s="45"/>
      <c r="J84" s="57"/>
      <c r="K84" s="43"/>
      <c r="L84" s="45">
        <f>SUM(AO53:AO77)</f>
        <v>16.479999999999997</v>
      </c>
    </row>
    <row r="85" spans="1:12" ht="14.25" hidden="1" x14ac:dyDescent="0.2">
      <c r="A85" s="57"/>
      <c r="B85" s="58"/>
      <c r="C85" s="81" t="s">
        <v>347</v>
      </c>
      <c r="D85" s="79"/>
      <c r="E85" s="79"/>
      <c r="F85" s="79"/>
      <c r="G85" s="79"/>
      <c r="H85" s="79"/>
      <c r="I85" s="45"/>
      <c r="J85" s="57"/>
      <c r="K85" s="43"/>
      <c r="L85" s="45"/>
    </row>
    <row r="86" spans="1:12" ht="14.25" x14ac:dyDescent="0.2">
      <c r="A86" s="57"/>
      <c r="B86" s="58"/>
      <c r="C86" s="79" t="s">
        <v>367</v>
      </c>
      <c r="D86" s="79"/>
      <c r="E86" s="79"/>
      <c r="F86" s="79"/>
      <c r="G86" s="79"/>
      <c r="H86" s="79"/>
      <c r="I86" s="45"/>
      <c r="J86" s="57"/>
      <c r="K86" s="43"/>
      <c r="L86" s="45">
        <f>SUM(AT53:AT77)</f>
        <v>6.82</v>
      </c>
    </row>
    <row r="87" spans="1:12" ht="14.25" hidden="1" x14ac:dyDescent="0.2">
      <c r="A87" s="57"/>
      <c r="B87" s="58"/>
      <c r="C87" s="79" t="s">
        <v>348</v>
      </c>
      <c r="D87" s="79"/>
      <c r="E87" s="79"/>
      <c r="F87" s="79"/>
      <c r="G87" s="79"/>
      <c r="H87" s="79"/>
      <c r="I87" s="45"/>
      <c r="J87" s="57"/>
      <c r="K87" s="43"/>
      <c r="L87" s="45">
        <f>SUM(AV53:AV77)</f>
        <v>0</v>
      </c>
    </row>
    <row r="88" spans="1:12" ht="14.25" x14ac:dyDescent="0.2">
      <c r="A88" s="57"/>
      <c r="B88" s="58"/>
      <c r="C88" s="79" t="s">
        <v>349</v>
      </c>
      <c r="D88" s="79"/>
      <c r="E88" s="79"/>
      <c r="F88" s="79"/>
      <c r="G88" s="79"/>
      <c r="H88" s="79"/>
      <c r="I88" s="45"/>
      <c r="J88" s="57"/>
      <c r="K88" s="43"/>
      <c r="L88" s="45">
        <f>L90+L91</f>
        <v>10.91</v>
      </c>
    </row>
    <row r="89" spans="1:12" ht="14.25" x14ac:dyDescent="0.2">
      <c r="A89" s="57"/>
      <c r="B89" s="58"/>
      <c r="C89" s="81" t="s">
        <v>346</v>
      </c>
      <c r="D89" s="79"/>
      <c r="E89" s="79"/>
      <c r="F89" s="79"/>
      <c r="G89" s="79"/>
      <c r="H89" s="79"/>
      <c r="I89" s="45"/>
      <c r="J89" s="57"/>
      <c r="K89" s="43"/>
      <c r="L89" s="45"/>
    </row>
    <row r="90" spans="1:12" ht="14.25" x14ac:dyDescent="0.2">
      <c r="A90" s="57"/>
      <c r="B90" s="58"/>
      <c r="C90" s="79" t="s">
        <v>350</v>
      </c>
      <c r="D90" s="79"/>
      <c r="E90" s="79"/>
      <c r="F90" s="79"/>
      <c r="G90" s="79"/>
      <c r="H90" s="79"/>
      <c r="I90" s="45"/>
      <c r="J90" s="57"/>
      <c r="K90" s="43"/>
      <c r="L90" s="45">
        <f>SUM(AW53:AW77)-SUM(BK53:BK77)</f>
        <v>10.91</v>
      </c>
    </row>
    <row r="91" spans="1:12" ht="14.25" hidden="1" x14ac:dyDescent="0.2">
      <c r="A91" s="57"/>
      <c r="B91" s="58"/>
      <c r="C91" s="79" t="s">
        <v>351</v>
      </c>
      <c r="D91" s="79"/>
      <c r="E91" s="79"/>
      <c r="F91" s="79"/>
      <c r="G91" s="79"/>
      <c r="H91" s="79"/>
      <c r="I91" s="45"/>
      <c r="J91" s="57"/>
      <c r="K91" s="43"/>
      <c r="L91" s="45">
        <f>SUM(BC53:BC77)</f>
        <v>0</v>
      </c>
    </row>
    <row r="92" spans="1:12" ht="14.25" hidden="1" x14ac:dyDescent="0.2">
      <c r="A92" s="57"/>
      <c r="B92" s="58"/>
      <c r="C92" s="79" t="s">
        <v>352</v>
      </c>
      <c r="D92" s="79"/>
      <c r="E92" s="79"/>
      <c r="F92" s="79"/>
      <c r="G92" s="79"/>
      <c r="H92" s="79"/>
      <c r="I92" s="45"/>
      <c r="J92" s="57"/>
      <c r="K92" s="43"/>
      <c r="L92" s="45">
        <f>SUM(BB53:BB77)</f>
        <v>0</v>
      </c>
    </row>
    <row r="93" spans="1:12" ht="14.25" x14ac:dyDescent="0.2">
      <c r="A93" s="57"/>
      <c r="B93" s="58"/>
      <c r="C93" s="79" t="s">
        <v>353</v>
      </c>
      <c r="D93" s="79"/>
      <c r="E93" s="79"/>
      <c r="F93" s="79"/>
      <c r="G93" s="79"/>
      <c r="H93" s="79"/>
      <c r="I93" s="45"/>
      <c r="J93" s="57"/>
      <c r="K93" s="43"/>
      <c r="L93" s="45">
        <f>SUM(AR53:AR77)+SUM(AT53:AT77)+SUM(AV53:AV77)</f>
        <v>429.62</v>
      </c>
    </row>
    <row r="94" spans="1:12" ht="14.25" x14ac:dyDescent="0.2">
      <c r="A94" s="57"/>
      <c r="B94" s="58"/>
      <c r="C94" s="79" t="s">
        <v>354</v>
      </c>
      <c r="D94" s="79"/>
      <c r="E94" s="79"/>
      <c r="F94" s="79"/>
      <c r="G94" s="79"/>
      <c r="H94" s="79"/>
      <c r="I94" s="45"/>
      <c r="J94" s="57"/>
      <c r="K94" s="43"/>
      <c r="L94" s="45">
        <f>SUM(AZ53:AZ77)</f>
        <v>416.73</v>
      </c>
    </row>
    <row r="95" spans="1:12" ht="14.25" x14ac:dyDescent="0.2">
      <c r="A95" s="57"/>
      <c r="B95" s="58"/>
      <c r="C95" s="79" t="s">
        <v>355</v>
      </c>
      <c r="D95" s="79"/>
      <c r="E95" s="79"/>
      <c r="F95" s="79"/>
      <c r="G95" s="79"/>
      <c r="H95" s="79"/>
      <c r="I95" s="45"/>
      <c r="J95" s="57"/>
      <c r="K95" s="43"/>
      <c r="L95" s="45">
        <f>SUM(BA53:BA77)</f>
        <v>219.11</v>
      </c>
    </row>
    <row r="96" spans="1:12" ht="14.25" hidden="1" x14ac:dyDescent="0.2">
      <c r="A96" s="57"/>
      <c r="B96" s="58"/>
      <c r="C96" s="79" t="s">
        <v>356</v>
      </c>
      <c r="D96" s="79"/>
      <c r="E96" s="79"/>
      <c r="F96" s="79"/>
      <c r="G96" s="79"/>
      <c r="H96" s="79"/>
      <c r="I96" s="45"/>
      <c r="J96" s="57"/>
      <c r="K96" s="43"/>
      <c r="L96" s="45">
        <f>L98+L99</f>
        <v>0</v>
      </c>
    </row>
    <row r="97" spans="1:12" ht="14.25" hidden="1" x14ac:dyDescent="0.2">
      <c r="A97" s="57"/>
      <c r="B97" s="58"/>
      <c r="C97" s="81" t="s">
        <v>343</v>
      </c>
      <c r="D97" s="79"/>
      <c r="E97" s="79"/>
      <c r="F97" s="79"/>
      <c r="G97" s="79"/>
      <c r="H97" s="79"/>
      <c r="I97" s="45"/>
      <c r="J97" s="57"/>
      <c r="K97" s="43"/>
      <c r="L97" s="45"/>
    </row>
    <row r="98" spans="1:12" ht="14.25" hidden="1" x14ac:dyDescent="0.2">
      <c r="A98" s="57"/>
      <c r="B98" s="58"/>
      <c r="C98" s="79" t="s">
        <v>357</v>
      </c>
      <c r="D98" s="79"/>
      <c r="E98" s="79"/>
      <c r="F98" s="79"/>
      <c r="G98" s="79"/>
      <c r="H98" s="79"/>
      <c r="I98" s="45"/>
      <c r="J98" s="57"/>
      <c r="K98" s="43"/>
      <c r="L98" s="45">
        <f>SUM(BK53:BK77)</f>
        <v>0</v>
      </c>
    </row>
    <row r="99" spans="1:12" ht="14.25" hidden="1" x14ac:dyDescent="0.2">
      <c r="A99" s="57"/>
      <c r="B99" s="58"/>
      <c r="C99" s="79" t="s">
        <v>358</v>
      </c>
      <c r="D99" s="79"/>
      <c r="E99" s="79"/>
      <c r="F99" s="79"/>
      <c r="G99" s="79"/>
      <c r="H99" s="79"/>
      <c r="I99" s="45"/>
      <c r="J99" s="57"/>
      <c r="K99" s="43"/>
      <c r="L99" s="45">
        <f>SUM(BD53:BD77)</f>
        <v>0</v>
      </c>
    </row>
    <row r="100" spans="1:12" ht="14.25" hidden="1" x14ac:dyDescent="0.2">
      <c r="A100" s="57"/>
      <c r="B100" s="58"/>
      <c r="C100" s="79" t="s">
        <v>359</v>
      </c>
      <c r="D100" s="79"/>
      <c r="E100" s="79"/>
      <c r="F100" s="79"/>
      <c r="G100" s="79"/>
      <c r="H100" s="79"/>
      <c r="I100" s="45"/>
      <c r="J100" s="57"/>
      <c r="K100" s="43"/>
      <c r="L100" s="45"/>
    </row>
    <row r="101" spans="1:12" ht="14.25" hidden="1" x14ac:dyDescent="0.2">
      <c r="A101" s="57"/>
      <c r="B101" s="58"/>
      <c r="C101" s="79" t="s">
        <v>359</v>
      </c>
      <c r="D101" s="79"/>
      <c r="E101" s="79"/>
      <c r="F101" s="79"/>
      <c r="G101" s="79"/>
      <c r="H101" s="79"/>
      <c r="I101" s="45"/>
      <c r="J101" s="57"/>
      <c r="K101" s="43"/>
      <c r="L101" s="45">
        <f>SUM(BQ53:BQ77)</f>
        <v>0</v>
      </c>
    </row>
    <row r="102" spans="1:12" ht="14.25" hidden="1" x14ac:dyDescent="0.2">
      <c r="A102" s="57"/>
      <c r="B102" s="58"/>
      <c r="C102" s="79" t="s">
        <v>360</v>
      </c>
      <c r="D102" s="79"/>
      <c r="E102" s="79"/>
      <c r="F102" s="79"/>
      <c r="G102" s="79"/>
      <c r="H102" s="79"/>
      <c r="I102" s="45"/>
      <c r="J102" s="57"/>
      <c r="K102" s="43"/>
      <c r="L102" s="45">
        <f>SUM(BO53:BO77)</f>
        <v>0</v>
      </c>
    </row>
    <row r="103" spans="1:12" ht="15" x14ac:dyDescent="0.2">
      <c r="A103" s="59"/>
      <c r="B103" s="60"/>
      <c r="C103" s="80" t="s">
        <v>361</v>
      </c>
      <c r="D103" s="80"/>
      <c r="E103" s="80"/>
      <c r="F103" s="80"/>
      <c r="G103" s="80"/>
      <c r="H103" s="80"/>
      <c r="I103" s="49"/>
      <c r="J103" s="59"/>
      <c r="K103" s="61"/>
      <c r="L103" s="49">
        <f>L79+L94+L95+L96+L101+L102</f>
        <v>1092.8499999999999</v>
      </c>
    </row>
    <row r="104" spans="1:12" ht="14.25" x14ac:dyDescent="0.2">
      <c r="A104" s="57"/>
      <c r="B104" s="58"/>
      <c r="C104" s="81" t="s">
        <v>362</v>
      </c>
      <c r="D104" s="79"/>
      <c r="E104" s="79"/>
      <c r="F104" s="79"/>
      <c r="G104" s="79"/>
      <c r="H104" s="79"/>
      <c r="I104" s="45"/>
      <c r="J104" s="57"/>
      <c r="K104" s="43"/>
      <c r="L104" s="45"/>
    </row>
    <row r="105" spans="1:12" ht="14.25" hidden="1" x14ac:dyDescent="0.2">
      <c r="A105" s="57"/>
      <c r="B105" s="58"/>
      <c r="C105" s="79" t="s">
        <v>363</v>
      </c>
      <c r="D105" s="79"/>
      <c r="E105" s="79"/>
      <c r="F105" s="79"/>
      <c r="G105" s="79"/>
      <c r="H105" s="79"/>
      <c r="I105" s="45"/>
      <c r="J105" s="57"/>
      <c r="K105" s="43"/>
      <c r="L105" s="45">
        <f>SUM(AX53:AX77)</f>
        <v>0</v>
      </c>
    </row>
    <row r="106" spans="1:12" ht="14.25" hidden="1" x14ac:dyDescent="0.2">
      <c r="A106" s="57"/>
      <c r="B106" s="58"/>
      <c r="C106" s="79" t="s">
        <v>364</v>
      </c>
      <c r="D106" s="79"/>
      <c r="E106" s="79"/>
      <c r="F106" s="79"/>
      <c r="G106" s="79"/>
      <c r="H106" s="79"/>
      <c r="I106" s="45"/>
      <c r="J106" s="57"/>
      <c r="K106" s="43"/>
      <c r="L106" s="45">
        <f>SUM(AY53:AY77)</f>
        <v>0</v>
      </c>
    </row>
    <row r="107" spans="1:12" ht="14.25" x14ac:dyDescent="0.2">
      <c r="A107" s="57"/>
      <c r="B107" s="58"/>
      <c r="C107" s="79" t="s">
        <v>365</v>
      </c>
      <c r="D107" s="79"/>
      <c r="E107" s="79"/>
      <c r="F107" s="82"/>
      <c r="G107" s="48">
        <f>Source!F52</f>
        <v>0.80135999999999996</v>
      </c>
      <c r="H107" s="57"/>
      <c r="I107" s="57"/>
      <c r="J107" s="57"/>
      <c r="K107" s="57"/>
      <c r="L107" s="57"/>
    </row>
    <row r="108" spans="1:12" ht="14.25" x14ac:dyDescent="0.2">
      <c r="A108" s="57"/>
      <c r="B108" s="58"/>
      <c r="C108" s="79" t="s">
        <v>366</v>
      </c>
      <c r="D108" s="79"/>
      <c r="E108" s="79"/>
      <c r="F108" s="82"/>
      <c r="G108" s="48">
        <f>Source!F53</f>
        <v>1.0800000000000001E-2</v>
      </c>
      <c r="H108" s="57"/>
      <c r="I108" s="57"/>
      <c r="J108" s="57"/>
      <c r="K108" s="57"/>
      <c r="L108" s="57"/>
    </row>
    <row r="110" spans="1:12" ht="16.5" x14ac:dyDescent="0.2">
      <c r="A110" s="86" t="s">
        <v>368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1:12" ht="85.5" x14ac:dyDescent="0.2">
      <c r="A111" s="39" t="s">
        <v>84</v>
      </c>
      <c r="B111" s="41" t="s">
        <v>369</v>
      </c>
      <c r="C111" s="41" t="str">
        <f>Source!G64</f>
        <v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v>
      </c>
      <c r="D111" s="42" t="str">
        <f>Source!H64</f>
        <v>ШТ</v>
      </c>
      <c r="E111" s="43">
        <f>Source!K64</f>
        <v>1</v>
      </c>
      <c r="F111" s="43"/>
      <c r="G111" s="43">
        <f>Source!I64</f>
        <v>1</v>
      </c>
      <c r="H111" s="45"/>
      <c r="I111" s="44"/>
      <c r="J111" s="45"/>
      <c r="K111" s="44"/>
      <c r="L111" s="45"/>
    </row>
    <row r="112" spans="1:12" ht="15" x14ac:dyDescent="0.2">
      <c r="A112" s="40"/>
      <c r="B112" s="43">
        <v>1</v>
      </c>
      <c r="C112" s="40" t="s">
        <v>330</v>
      </c>
      <c r="D112" s="42" t="s">
        <v>213</v>
      </c>
      <c r="E112" s="48"/>
      <c r="F112" s="43"/>
      <c r="G112" s="43">
        <f>Source!U64</f>
        <v>1.38</v>
      </c>
      <c r="H112" s="43"/>
      <c r="I112" s="43"/>
      <c r="J112" s="43"/>
      <c r="K112" s="43"/>
      <c r="L112" s="49">
        <f>SUM(L113:L113)-SUMIF(CE113:CE113, 1, L113:L113)</f>
        <v>728.09</v>
      </c>
    </row>
    <row r="113" spans="1:82" ht="14.25" x14ac:dyDescent="0.2">
      <c r="A113" s="41"/>
      <c r="B113" s="41" t="s">
        <v>211</v>
      </c>
      <c r="C113" s="41" t="s">
        <v>212</v>
      </c>
      <c r="D113" s="42" t="s">
        <v>213</v>
      </c>
      <c r="E113" s="43">
        <v>1.38</v>
      </c>
      <c r="F113" s="43"/>
      <c r="G113" s="43">
        <f>SmtRes!CX11</f>
        <v>1.38</v>
      </c>
      <c r="H113" s="45"/>
      <c r="I113" s="44"/>
      <c r="J113" s="45">
        <f>SmtRes!CZ11</f>
        <v>527.6</v>
      </c>
      <c r="K113" s="44"/>
      <c r="L113" s="45">
        <f>SmtRes!DI11</f>
        <v>728.09</v>
      </c>
    </row>
    <row r="114" spans="1:82" ht="15" x14ac:dyDescent="0.2">
      <c r="A114" s="40"/>
      <c r="B114" s="43">
        <v>4</v>
      </c>
      <c r="C114" s="40" t="s">
        <v>335</v>
      </c>
      <c r="D114" s="42"/>
      <c r="E114" s="48"/>
      <c r="F114" s="43"/>
      <c r="G114" s="43"/>
      <c r="H114" s="43"/>
      <c r="I114" s="43"/>
      <c r="J114" s="43"/>
      <c r="K114" s="43"/>
      <c r="L114" s="49">
        <f>SUM(L115:L117)-SUMIF(CE115:CE117, 1, L115:L117)</f>
        <v>121.92999999999999</v>
      </c>
    </row>
    <row r="115" spans="1:82" ht="14.25" x14ac:dyDescent="0.2">
      <c r="A115" s="41"/>
      <c r="B115" s="41" t="s">
        <v>246</v>
      </c>
      <c r="C115" s="41" t="s">
        <v>248</v>
      </c>
      <c r="D115" s="42" t="s">
        <v>238</v>
      </c>
      <c r="E115" s="43">
        <v>8.0000000000000004E-4</v>
      </c>
      <c r="F115" s="43"/>
      <c r="G115" s="43">
        <f>SmtRes!CX12</f>
        <v>8.0000000000000004E-4</v>
      </c>
      <c r="H115" s="45">
        <f>SmtRes!CZ12</f>
        <v>116448.72</v>
      </c>
      <c r="I115" s="44">
        <f>SmtRes!AI12</f>
        <v>1.28</v>
      </c>
      <c r="J115" s="45">
        <f>ROUND(H115*I115, 2)</f>
        <v>149054.35999999999</v>
      </c>
      <c r="K115" s="44"/>
      <c r="L115" s="45">
        <f>SmtRes!DF12</f>
        <v>119.24</v>
      </c>
    </row>
    <row r="116" spans="1:82" ht="14.25" x14ac:dyDescent="0.2">
      <c r="A116" s="41"/>
      <c r="B116" s="41" t="s">
        <v>249</v>
      </c>
      <c r="C116" s="41" t="s">
        <v>251</v>
      </c>
      <c r="D116" s="42" t="s">
        <v>238</v>
      </c>
      <c r="E116" s="43">
        <v>1.0000000000000001E-5</v>
      </c>
      <c r="F116" s="43"/>
      <c r="G116" s="43">
        <f>SmtRes!CX13</f>
        <v>1.0000000000000001E-5</v>
      </c>
      <c r="H116" s="45">
        <f>SmtRes!CZ13</f>
        <v>81827.199999999997</v>
      </c>
      <c r="I116" s="44">
        <f>SmtRes!AI13</f>
        <v>1.6</v>
      </c>
      <c r="J116" s="45">
        <f>ROUND(H116*I116, 2)</f>
        <v>130923.52</v>
      </c>
      <c r="K116" s="44"/>
      <c r="L116" s="45">
        <f>SmtRes!DF13</f>
        <v>1.31</v>
      </c>
    </row>
    <row r="117" spans="1:82" ht="57" x14ac:dyDescent="0.2">
      <c r="A117" s="41"/>
      <c r="B117" s="41" t="s">
        <v>231</v>
      </c>
      <c r="C117" s="50" t="s">
        <v>233</v>
      </c>
      <c r="D117" s="51" t="s">
        <v>234</v>
      </c>
      <c r="E117" s="52">
        <v>2.4E-2</v>
      </c>
      <c r="F117" s="52"/>
      <c r="G117" s="52">
        <f>SmtRes!CX14</f>
        <v>2.4E-2</v>
      </c>
      <c r="H117" s="53">
        <f>SmtRes!CZ14</f>
        <v>37.71</v>
      </c>
      <c r="I117" s="54">
        <f>SmtRes!AI14</f>
        <v>1.53</v>
      </c>
      <c r="J117" s="53">
        <f>ROUND(H117*I117, 2)</f>
        <v>57.7</v>
      </c>
      <c r="K117" s="54"/>
      <c r="L117" s="53">
        <f>SmtRes!DF14</f>
        <v>1.38</v>
      </c>
    </row>
    <row r="118" spans="1:82" ht="15" x14ac:dyDescent="0.2">
      <c r="A118" s="41"/>
      <c r="B118" s="41"/>
      <c r="C118" s="56" t="s">
        <v>336</v>
      </c>
      <c r="D118" s="42"/>
      <c r="E118" s="43"/>
      <c r="F118" s="43"/>
      <c r="G118" s="43"/>
      <c r="H118" s="45"/>
      <c r="I118" s="44"/>
      <c r="J118" s="45"/>
      <c r="K118" s="44"/>
      <c r="L118" s="45">
        <f>L112+L114</f>
        <v>850.02</v>
      </c>
    </row>
    <row r="119" spans="1:82" ht="14.25" x14ac:dyDescent="0.2">
      <c r="A119" s="39" t="s">
        <v>370</v>
      </c>
      <c r="B119" s="41" t="str">
        <f>Source!F65</f>
        <v>ТН Мособлэнерго</v>
      </c>
      <c r="C119" s="41" t="str">
        <f>Source!G65</f>
        <v>Муфта 3КВТП-10-70/120</v>
      </c>
      <c r="D119" s="42" t="str">
        <f>Source!H65</f>
        <v>ШТ</v>
      </c>
      <c r="E119" s="43">
        <f>SmtRes!AT15</f>
        <v>1</v>
      </c>
      <c r="F119" s="43"/>
      <c r="G119" s="43">
        <f>Source!I65</f>
        <v>1</v>
      </c>
      <c r="H119" s="45"/>
      <c r="I119" s="44"/>
      <c r="J119" s="45">
        <f>Source!AK65</f>
        <v>4388.75</v>
      </c>
      <c r="K119" s="44"/>
      <c r="L119" s="45">
        <f>Source!P65</f>
        <v>4388.75</v>
      </c>
      <c r="AD119">
        <f>ROUND((Source!AT65/100)*((ROUND(ROUND(Source!AO65,2)*Source!I65, 2)+ROUND(ROUND(Source!AN65,2)*Source!I65, 2))), 2)</f>
        <v>0</v>
      </c>
      <c r="AE119">
        <f>ROUND((Source!AU65/100)*((ROUND(ROUND(Source!AO65,2)*Source!I65, 2)+ROUND(ROUND(Source!AN65,2)*Source!I65, 2))), 2)</f>
        <v>0</v>
      </c>
      <c r="AN119">
        <f>L119</f>
        <v>4388.75</v>
      </c>
      <c r="AW119">
        <f>L119</f>
        <v>4388.75</v>
      </c>
      <c r="AX119">
        <f>L119</f>
        <v>4388.75</v>
      </c>
      <c r="AZ119">
        <f>Source!X65</f>
        <v>0</v>
      </c>
      <c r="BA119">
        <f>Source!Y65</f>
        <v>0</v>
      </c>
      <c r="CD119">
        <v>2</v>
      </c>
    </row>
    <row r="120" spans="1:82" ht="14.25" x14ac:dyDescent="0.2">
      <c r="A120" s="41"/>
      <c r="B120" s="41"/>
      <c r="C120" s="41" t="s">
        <v>337</v>
      </c>
      <c r="D120" s="42"/>
      <c r="E120" s="43"/>
      <c r="F120" s="43"/>
      <c r="G120" s="43"/>
      <c r="H120" s="45"/>
      <c r="I120" s="44"/>
      <c r="J120" s="45"/>
      <c r="K120" s="44"/>
      <c r="L120" s="45">
        <f>SUM(AR111:AR123)+SUM(AS111:AS123)+SUM(AT111:AT123)+SUM(AU111:AU123)+SUM(AV111:AV123)</f>
        <v>728.09</v>
      </c>
    </row>
    <row r="121" spans="1:82" ht="28.5" x14ac:dyDescent="0.2">
      <c r="A121" s="41"/>
      <c r="B121" s="41" t="s">
        <v>27</v>
      </c>
      <c r="C121" s="41" t="s">
        <v>338</v>
      </c>
      <c r="D121" s="42" t="s">
        <v>271</v>
      </c>
      <c r="E121" s="43">
        <f>Source!BZ64</f>
        <v>97</v>
      </c>
      <c r="F121" s="43"/>
      <c r="G121" s="43">
        <f>Source!AT64</f>
        <v>97</v>
      </c>
      <c r="H121" s="45"/>
      <c r="I121" s="44"/>
      <c r="J121" s="45"/>
      <c r="K121" s="44"/>
      <c r="L121" s="45">
        <f>SUM(AZ111:AZ123)</f>
        <v>706.25</v>
      </c>
    </row>
    <row r="122" spans="1:82" ht="28.5" x14ac:dyDescent="0.2">
      <c r="A122" s="50"/>
      <c r="B122" s="50" t="s">
        <v>28</v>
      </c>
      <c r="C122" s="50" t="s">
        <v>339</v>
      </c>
      <c r="D122" s="51" t="s">
        <v>271</v>
      </c>
      <c r="E122" s="52">
        <f>Source!CA64</f>
        <v>51</v>
      </c>
      <c r="F122" s="52"/>
      <c r="G122" s="52">
        <f>Source!AU64</f>
        <v>51</v>
      </c>
      <c r="H122" s="53"/>
      <c r="I122" s="54"/>
      <c r="J122" s="53"/>
      <c r="K122" s="54"/>
      <c r="L122" s="53">
        <f>SUM(BA111:BA123)</f>
        <v>371.33</v>
      </c>
    </row>
    <row r="123" spans="1:82" ht="15" x14ac:dyDescent="0.2">
      <c r="C123" s="84" t="s">
        <v>340</v>
      </c>
      <c r="D123" s="84"/>
      <c r="E123" s="84"/>
      <c r="F123" s="84"/>
      <c r="G123" s="84"/>
      <c r="H123" s="84"/>
      <c r="I123" s="85">
        <f>IF(E111&lt;&gt;0,K123/E111, 0)</f>
        <v>6316.35</v>
      </c>
      <c r="J123" s="85"/>
      <c r="K123" s="85">
        <f>L112+L114+L121+L122+SUM(L119:L119)</f>
        <v>6316.35</v>
      </c>
      <c r="L123" s="85"/>
      <c r="AD123">
        <f>ROUND((Source!AT64/100)*((ROUND(SUMIF(SmtRes!AQ11:'SmtRes'!AQ15,"=1",SmtRes!AD11:'SmtRes'!AD15)*Source!I64, 2)+ROUND(SUMIF(SmtRes!AQ11:'SmtRes'!AQ15,"=1",SmtRes!AC11:'SmtRes'!AC15)*Source!I64, 2))), 2)</f>
        <v>511.77</v>
      </c>
      <c r="AE123">
        <f>ROUND((Source!AU64/100)*((ROUND(SUMIF(SmtRes!AQ11:'SmtRes'!AQ15,"=1",SmtRes!AD11:'SmtRes'!AD15)*Source!I64, 2)+ROUND(SUMIF(SmtRes!AQ11:'SmtRes'!AQ15,"=1",SmtRes!AC11:'SmtRes'!AC15)*Source!I64, 2))), 2)</f>
        <v>269.08</v>
      </c>
      <c r="AN123" s="55">
        <f>L112+L114+L121+L122</f>
        <v>1927.6</v>
      </c>
      <c r="AO123">
        <f>0</f>
        <v>0</v>
      </c>
      <c r="AQ123" t="s">
        <v>341</v>
      </c>
      <c r="AR123" s="55">
        <f>L112</f>
        <v>728.09</v>
      </c>
      <c r="AT123">
        <f>0</f>
        <v>0</v>
      </c>
      <c r="AV123" t="s">
        <v>341</v>
      </c>
      <c r="AW123" s="55">
        <f>L114</f>
        <v>121.92999999999999</v>
      </c>
      <c r="AZ123">
        <f>Source!X64</f>
        <v>706.25</v>
      </c>
      <c r="BA123">
        <f>Source!Y64</f>
        <v>371.33</v>
      </c>
      <c r="CD123">
        <v>2</v>
      </c>
    </row>
    <row r="124" spans="1:82" ht="42.75" x14ac:dyDescent="0.2">
      <c r="A124" s="39" t="s">
        <v>92</v>
      </c>
      <c r="B124" s="41" t="s">
        <v>371</v>
      </c>
      <c r="C124" s="41" t="str">
        <f>Source!G66</f>
        <v>Присоединение к зажимам жил проводов или кабелей сечением: до 150 мм2</v>
      </c>
      <c r="D124" s="42" t="str">
        <f>Source!H66</f>
        <v>100 ШТ</v>
      </c>
      <c r="E124" s="43">
        <f>Source!K66</f>
        <v>0.03</v>
      </c>
      <c r="F124" s="43"/>
      <c r="G124" s="43">
        <f>Source!I66</f>
        <v>0.03</v>
      </c>
      <c r="H124" s="45"/>
      <c r="I124" s="44"/>
      <c r="J124" s="45"/>
      <c r="K124" s="44"/>
      <c r="L124" s="45"/>
    </row>
    <row r="125" spans="1:82" x14ac:dyDescent="0.2">
      <c r="C125" s="47" t="str">
        <f>"Объем: "&amp;Source!I66&amp;"=3/"&amp;"100"</f>
        <v>Объем: 0,03=3/100</v>
      </c>
    </row>
    <row r="126" spans="1:82" ht="15" x14ac:dyDescent="0.2">
      <c r="A126" s="40"/>
      <c r="B126" s="43">
        <v>1</v>
      </c>
      <c r="C126" s="40" t="s">
        <v>330</v>
      </c>
      <c r="D126" s="42" t="s">
        <v>213</v>
      </c>
      <c r="E126" s="48"/>
      <c r="F126" s="43"/>
      <c r="G126" s="43">
        <f>Source!U66</f>
        <v>0.68159999999999998</v>
      </c>
      <c r="H126" s="43"/>
      <c r="I126" s="43"/>
      <c r="J126" s="43"/>
      <c r="K126" s="43"/>
      <c r="L126" s="49">
        <f>SUM(L127:L127)-SUMIF(CE127:CE127, 1, L127:L127)</f>
        <v>359.61</v>
      </c>
    </row>
    <row r="127" spans="1:82" ht="14.25" x14ac:dyDescent="0.2">
      <c r="A127" s="41"/>
      <c r="B127" s="41" t="s">
        <v>211</v>
      </c>
      <c r="C127" s="50" t="s">
        <v>212</v>
      </c>
      <c r="D127" s="51" t="s">
        <v>213</v>
      </c>
      <c r="E127" s="52">
        <v>22.72</v>
      </c>
      <c r="F127" s="52"/>
      <c r="G127" s="52">
        <f>SmtRes!CX16</f>
        <v>0.68159999999999998</v>
      </c>
      <c r="H127" s="53"/>
      <c r="I127" s="54"/>
      <c r="J127" s="53">
        <f>SmtRes!CZ16</f>
        <v>527.6</v>
      </c>
      <c r="K127" s="54"/>
      <c r="L127" s="53">
        <f>SmtRes!DI16</f>
        <v>359.61</v>
      </c>
    </row>
    <row r="128" spans="1:82" ht="15" x14ac:dyDescent="0.2">
      <c r="A128" s="41"/>
      <c r="B128" s="41"/>
      <c r="C128" s="56" t="s">
        <v>336</v>
      </c>
      <c r="D128" s="42"/>
      <c r="E128" s="43"/>
      <c r="F128" s="43"/>
      <c r="G128" s="43"/>
      <c r="H128" s="45"/>
      <c r="I128" s="44"/>
      <c r="J128" s="45"/>
      <c r="K128" s="44"/>
      <c r="L128" s="45">
        <f>L126</f>
        <v>359.61</v>
      </c>
    </row>
    <row r="129" spans="1:83" ht="14.25" x14ac:dyDescent="0.2">
      <c r="A129" s="41"/>
      <c r="B129" s="41"/>
      <c r="C129" s="41" t="s">
        <v>337</v>
      </c>
      <c r="D129" s="42"/>
      <c r="E129" s="43"/>
      <c r="F129" s="43"/>
      <c r="G129" s="43"/>
      <c r="H129" s="45"/>
      <c r="I129" s="44"/>
      <c r="J129" s="45"/>
      <c r="K129" s="44"/>
      <c r="L129" s="45">
        <f>SUM(AR124:AR132)+SUM(AS124:AS132)+SUM(AT124:AT132)+SUM(AU124:AU132)+SUM(AV124:AV132)</f>
        <v>359.61</v>
      </c>
    </row>
    <row r="130" spans="1:83" ht="28.5" x14ac:dyDescent="0.2">
      <c r="A130" s="41"/>
      <c r="B130" s="41" t="s">
        <v>27</v>
      </c>
      <c r="C130" s="41" t="s">
        <v>338</v>
      </c>
      <c r="D130" s="42" t="s">
        <v>271</v>
      </c>
      <c r="E130" s="43">
        <f>Source!BZ66</f>
        <v>97</v>
      </c>
      <c r="F130" s="43"/>
      <c r="G130" s="43">
        <f>Source!AT66</f>
        <v>97</v>
      </c>
      <c r="H130" s="45"/>
      <c r="I130" s="44"/>
      <c r="J130" s="45"/>
      <c r="K130" s="44"/>
      <c r="L130" s="45">
        <f>SUM(AZ124:AZ132)</f>
        <v>348.82</v>
      </c>
    </row>
    <row r="131" spans="1:83" ht="28.5" x14ac:dyDescent="0.2">
      <c r="A131" s="50"/>
      <c r="B131" s="50" t="s">
        <v>28</v>
      </c>
      <c r="C131" s="50" t="s">
        <v>339</v>
      </c>
      <c r="D131" s="51" t="s">
        <v>271</v>
      </c>
      <c r="E131" s="52">
        <f>Source!CA66</f>
        <v>51</v>
      </c>
      <c r="F131" s="52"/>
      <c r="G131" s="52">
        <f>Source!AU66</f>
        <v>51</v>
      </c>
      <c r="H131" s="53"/>
      <c r="I131" s="54"/>
      <c r="J131" s="53"/>
      <c r="K131" s="54"/>
      <c r="L131" s="53">
        <f>SUM(BA124:BA132)</f>
        <v>183.4</v>
      </c>
    </row>
    <row r="132" spans="1:83" ht="15" x14ac:dyDescent="0.2">
      <c r="C132" s="84" t="s">
        <v>340</v>
      </c>
      <c r="D132" s="84"/>
      <c r="E132" s="84"/>
      <c r="F132" s="84"/>
      <c r="G132" s="84"/>
      <c r="H132" s="84"/>
      <c r="I132" s="85">
        <f>IF(E124&lt;&gt;0,K132/E124, 0)</f>
        <v>29727.666666666668</v>
      </c>
      <c r="J132" s="85"/>
      <c r="K132" s="85">
        <f>L126+L130+L131</f>
        <v>891.83</v>
      </c>
      <c r="L132" s="85"/>
      <c r="AD132">
        <f>ROUND((Source!AT66/100)*((ROUND(SUMIF(SmtRes!AQ16:'SmtRes'!AQ16,"=1",SmtRes!AD16:'SmtRes'!AD16)*Source!I66, 2)+ROUND(SUMIF(SmtRes!AQ16:'SmtRes'!AQ16,"=1",SmtRes!AC16:'SmtRes'!AC16)*Source!I66, 2))), 2)</f>
        <v>15.36</v>
      </c>
      <c r="AE132">
        <f>ROUND((Source!AU66/100)*((ROUND(SUMIF(SmtRes!AQ16:'SmtRes'!AQ16,"=1",SmtRes!AD16:'SmtRes'!AD16)*Source!I66, 2)+ROUND(SUMIF(SmtRes!AQ16:'SmtRes'!AQ16,"=1",SmtRes!AC16:'SmtRes'!AC16)*Source!I66, 2))), 2)</f>
        <v>8.07</v>
      </c>
      <c r="AN132" s="55">
        <f>L126+L130+L131</f>
        <v>891.83</v>
      </c>
      <c r="AO132">
        <f>0</f>
        <v>0</v>
      </c>
      <c r="AQ132" t="s">
        <v>341</v>
      </c>
      <c r="AR132" s="55">
        <f>L126</f>
        <v>359.61</v>
      </c>
      <c r="AT132">
        <f>0</f>
        <v>0</v>
      </c>
      <c r="AV132" t="s">
        <v>341</v>
      </c>
      <c r="AW132">
        <f>0</f>
        <v>0</v>
      </c>
      <c r="AZ132">
        <f>Source!X66</f>
        <v>348.82</v>
      </c>
      <c r="BA132">
        <f>Source!Y66</f>
        <v>183.4</v>
      </c>
      <c r="CD132">
        <v>2</v>
      </c>
    </row>
    <row r="133" spans="1:83" ht="57" x14ac:dyDescent="0.2">
      <c r="A133" s="39" t="s">
        <v>97</v>
      </c>
      <c r="B133" s="41" t="s">
        <v>372</v>
      </c>
      <c r="C133" s="41" t="str">
        <f>Source!G67</f>
        <v>Проводник заземляющий из медного изолированного провода сечением 25 мм2 открыто по строительным основаниям</v>
      </c>
      <c r="D133" s="42" t="str">
        <f>Source!H67</f>
        <v>100 м</v>
      </c>
      <c r="E133" s="43">
        <f>Source!K67</f>
        <v>0.01</v>
      </c>
      <c r="F133" s="43"/>
      <c r="G133" s="43">
        <f>Source!I67</f>
        <v>0.01</v>
      </c>
      <c r="H133" s="45"/>
      <c r="I133" s="44"/>
      <c r="J133" s="45"/>
      <c r="K133" s="44"/>
      <c r="L133" s="45"/>
    </row>
    <row r="134" spans="1:83" x14ac:dyDescent="0.2">
      <c r="C134" s="47" t="str">
        <f>"Объем: "&amp;Source!I67&amp;"=1/"&amp;"100"</f>
        <v>Объем: 0,01=1/100</v>
      </c>
    </row>
    <row r="135" spans="1:83" ht="15" x14ac:dyDescent="0.2">
      <c r="A135" s="40"/>
      <c r="B135" s="43">
        <v>1</v>
      </c>
      <c r="C135" s="40" t="s">
        <v>330</v>
      </c>
      <c r="D135" s="42" t="s">
        <v>213</v>
      </c>
      <c r="E135" s="48"/>
      <c r="F135" s="43"/>
      <c r="G135" s="43">
        <f>Source!U67</f>
        <v>0.3216</v>
      </c>
      <c r="H135" s="43"/>
      <c r="I135" s="43"/>
      <c r="J135" s="43"/>
      <c r="K135" s="43"/>
      <c r="L135" s="49">
        <f>SUM(L136:L136)-SUMIF(CE136:CE136, 1, L136:L136)</f>
        <v>169.68</v>
      </c>
    </row>
    <row r="136" spans="1:83" ht="14.25" x14ac:dyDescent="0.2">
      <c r="A136" s="41"/>
      <c r="B136" s="41" t="s">
        <v>211</v>
      </c>
      <c r="C136" s="41" t="s">
        <v>212</v>
      </c>
      <c r="D136" s="42" t="s">
        <v>213</v>
      </c>
      <c r="E136" s="43">
        <v>32.159999999999997</v>
      </c>
      <c r="F136" s="43"/>
      <c r="G136" s="43">
        <f>SmtRes!CX17</f>
        <v>0.3216</v>
      </c>
      <c r="H136" s="45"/>
      <c r="I136" s="44"/>
      <c r="J136" s="45">
        <f>SmtRes!CZ17</f>
        <v>527.6</v>
      </c>
      <c r="K136" s="44"/>
      <c r="L136" s="45">
        <f>SmtRes!DI17</f>
        <v>169.68</v>
      </c>
    </row>
    <row r="137" spans="1:83" ht="15" x14ac:dyDescent="0.2">
      <c r="A137" s="40"/>
      <c r="B137" s="43">
        <v>2</v>
      </c>
      <c r="C137" s="40" t="s">
        <v>331</v>
      </c>
      <c r="D137" s="42"/>
      <c r="E137" s="48"/>
      <c r="F137" s="43"/>
      <c r="G137" s="43"/>
      <c r="H137" s="43"/>
      <c r="I137" s="43"/>
      <c r="J137" s="43"/>
      <c r="K137" s="43"/>
      <c r="L137" s="49">
        <f>SUM(L138:L142)-SUMIF(CE138:CE142, 1, L138:L142)</f>
        <v>0.67999999999999994</v>
      </c>
    </row>
    <row r="138" spans="1:83" ht="15" x14ac:dyDescent="0.2">
      <c r="A138" s="40"/>
      <c r="B138" s="43"/>
      <c r="C138" s="40" t="s">
        <v>334</v>
      </c>
      <c r="D138" s="42" t="s">
        <v>213</v>
      </c>
      <c r="E138" s="48"/>
      <c r="F138" s="43"/>
      <c r="G138" s="43">
        <f>Source!V67</f>
        <v>5.9999999999999995E-4</v>
      </c>
      <c r="H138" s="43"/>
      <c r="I138" s="43"/>
      <c r="J138" s="43"/>
      <c r="K138" s="43"/>
      <c r="L138" s="49">
        <f>SUMIF(CE139:CE142, 1, L139:L142)</f>
        <v>0.38</v>
      </c>
      <c r="CE138">
        <v>1</v>
      </c>
    </row>
    <row r="139" spans="1:83" ht="28.5" x14ac:dyDescent="0.2">
      <c r="A139" s="41"/>
      <c r="B139" s="41" t="s">
        <v>216</v>
      </c>
      <c r="C139" s="41" t="s">
        <v>218</v>
      </c>
      <c r="D139" s="42" t="s">
        <v>219</v>
      </c>
      <c r="E139" s="43">
        <v>0.03</v>
      </c>
      <c r="F139" s="43"/>
      <c r="G139" s="43">
        <f>SmtRes!CX19</f>
        <v>2.9999999999999997E-4</v>
      </c>
      <c r="H139" s="45"/>
      <c r="I139" s="44"/>
      <c r="J139" s="45">
        <f>SmtRes!CZ19</f>
        <v>1626.29</v>
      </c>
      <c r="K139" s="44"/>
      <c r="L139" s="45">
        <f>SmtRes!DG19</f>
        <v>0.49</v>
      </c>
    </row>
    <row r="140" spans="1:83" ht="28.5" x14ac:dyDescent="0.2">
      <c r="A140" s="41"/>
      <c r="B140" s="41" t="s">
        <v>220</v>
      </c>
      <c r="C140" s="41" t="s">
        <v>332</v>
      </c>
      <c r="D140" s="42" t="s">
        <v>213</v>
      </c>
      <c r="E140" s="43">
        <f>SmtRes!DO19*SmtRes!AT19</f>
        <v>0.03</v>
      </c>
      <c r="F140" s="43"/>
      <c r="G140" s="43">
        <f>ROUND(E140*G133, 7)</f>
        <v>2.9999999999999997E-4</v>
      </c>
      <c r="H140" s="45"/>
      <c r="I140" s="44"/>
      <c r="J140" s="45">
        <f>ROUND(SmtRes!AG19/SmtRes!DO19, 2)</f>
        <v>724.95</v>
      </c>
      <c r="K140" s="44"/>
      <c r="L140" s="45">
        <f>SmtRes!DH19</f>
        <v>0.22</v>
      </c>
      <c r="CE140">
        <v>1</v>
      </c>
    </row>
    <row r="141" spans="1:83" ht="28.5" x14ac:dyDescent="0.2">
      <c r="A141" s="41"/>
      <c r="B141" s="41" t="s">
        <v>227</v>
      </c>
      <c r="C141" s="41" t="s">
        <v>229</v>
      </c>
      <c r="D141" s="42" t="s">
        <v>219</v>
      </c>
      <c r="E141" s="43">
        <v>0.03</v>
      </c>
      <c r="F141" s="43"/>
      <c r="G141" s="43">
        <f>SmtRes!CX20</f>
        <v>2.9999999999999997E-4</v>
      </c>
      <c r="H141" s="45"/>
      <c r="I141" s="44"/>
      <c r="J141" s="45">
        <f>SmtRes!CZ20</f>
        <v>641.70000000000005</v>
      </c>
      <c r="K141" s="44"/>
      <c r="L141" s="45">
        <f>SmtRes!DG20</f>
        <v>0.19</v>
      </c>
    </row>
    <row r="142" spans="1:83" ht="28.5" x14ac:dyDescent="0.2">
      <c r="A142" s="41"/>
      <c r="B142" s="41" t="s">
        <v>230</v>
      </c>
      <c r="C142" s="41" t="s">
        <v>333</v>
      </c>
      <c r="D142" s="42" t="s">
        <v>213</v>
      </c>
      <c r="E142" s="43">
        <f>SmtRes!DO20*SmtRes!AT20</f>
        <v>0.03</v>
      </c>
      <c r="F142" s="43"/>
      <c r="G142" s="43">
        <f>ROUND(E142*G133, 7)</f>
        <v>2.9999999999999997E-4</v>
      </c>
      <c r="H142" s="45"/>
      <c r="I142" s="44"/>
      <c r="J142" s="45">
        <f>ROUND(SmtRes!AG20/SmtRes!DO20, 2)</f>
        <v>539.69000000000005</v>
      </c>
      <c r="K142" s="44"/>
      <c r="L142" s="45">
        <f>SmtRes!DH20</f>
        <v>0.16</v>
      </c>
      <c r="CE142">
        <v>1</v>
      </c>
    </row>
    <row r="143" spans="1:83" ht="15" x14ac:dyDescent="0.2">
      <c r="A143" s="40"/>
      <c r="B143" s="43">
        <v>4</v>
      </c>
      <c r="C143" s="40" t="s">
        <v>335</v>
      </c>
      <c r="D143" s="42"/>
      <c r="E143" s="48"/>
      <c r="F143" s="43"/>
      <c r="G143" s="43"/>
      <c r="H143" s="43"/>
      <c r="I143" s="43"/>
      <c r="J143" s="43"/>
      <c r="K143" s="43"/>
      <c r="L143" s="49">
        <f>SUM(L144:L146)-SUMIF(CE144:CE146, 1, L144:L146)</f>
        <v>2.08</v>
      </c>
    </row>
    <row r="144" spans="1:83" ht="14.25" x14ac:dyDescent="0.2">
      <c r="A144" s="41"/>
      <c r="B144" s="41" t="s">
        <v>252</v>
      </c>
      <c r="C144" s="41" t="s">
        <v>254</v>
      </c>
      <c r="D144" s="42" t="s">
        <v>255</v>
      </c>
      <c r="E144" s="43">
        <v>6.6559999999999997</v>
      </c>
      <c r="F144" s="43"/>
      <c r="G144" s="43">
        <f>SmtRes!CX21</f>
        <v>6.6559999999999994E-2</v>
      </c>
      <c r="H144" s="45"/>
      <c r="I144" s="44"/>
      <c r="J144" s="45">
        <f>SmtRes!CZ21</f>
        <v>7.32</v>
      </c>
      <c r="K144" s="44"/>
      <c r="L144" s="45">
        <f>SmtRes!DF21</f>
        <v>0.49</v>
      </c>
    </row>
    <row r="145" spans="1:82" ht="28.5" x14ac:dyDescent="0.2">
      <c r="A145" s="41"/>
      <c r="B145" s="41" t="s">
        <v>256</v>
      </c>
      <c r="C145" s="41" t="s">
        <v>258</v>
      </c>
      <c r="D145" s="42" t="s">
        <v>95</v>
      </c>
      <c r="E145" s="43">
        <v>2.04</v>
      </c>
      <c r="F145" s="43"/>
      <c r="G145" s="43">
        <f>SmtRes!CX22</f>
        <v>2.0400000000000001E-2</v>
      </c>
      <c r="H145" s="45">
        <f>SmtRes!CZ22</f>
        <v>41.71</v>
      </c>
      <c r="I145" s="44">
        <f>SmtRes!AI22</f>
        <v>1.29</v>
      </c>
      <c r="J145" s="45">
        <f>ROUND(H145*I145, 2)</f>
        <v>53.81</v>
      </c>
      <c r="K145" s="44"/>
      <c r="L145" s="45">
        <f>SmtRes!DF22</f>
        <v>1.1000000000000001</v>
      </c>
    </row>
    <row r="146" spans="1:82" ht="71.25" x14ac:dyDescent="0.2">
      <c r="A146" s="41"/>
      <c r="B146" s="41" t="s">
        <v>259</v>
      </c>
      <c r="C146" s="50" t="s">
        <v>261</v>
      </c>
      <c r="D146" s="51" t="s">
        <v>95</v>
      </c>
      <c r="E146" s="52">
        <v>2.04</v>
      </c>
      <c r="F146" s="52"/>
      <c r="G146" s="52">
        <f>SmtRes!CX23</f>
        <v>2.0400000000000001E-2</v>
      </c>
      <c r="H146" s="53">
        <f>SmtRes!CZ23</f>
        <v>18.54</v>
      </c>
      <c r="I146" s="54">
        <f>SmtRes!AI23</f>
        <v>1.29</v>
      </c>
      <c r="J146" s="53">
        <f>ROUND(H146*I146, 2)</f>
        <v>23.92</v>
      </c>
      <c r="K146" s="54"/>
      <c r="L146" s="53">
        <f>SmtRes!DF23</f>
        <v>0.49</v>
      </c>
    </row>
    <row r="147" spans="1:82" ht="15" x14ac:dyDescent="0.2">
      <c r="A147" s="41"/>
      <c r="B147" s="41"/>
      <c r="C147" s="56" t="s">
        <v>336</v>
      </c>
      <c r="D147" s="42"/>
      <c r="E147" s="43"/>
      <c r="F147" s="43"/>
      <c r="G147" s="43"/>
      <c r="H147" s="45"/>
      <c r="I147" s="44"/>
      <c r="J147" s="45"/>
      <c r="K147" s="44"/>
      <c r="L147" s="45">
        <f>L135+L137+L138+L143</f>
        <v>172.82000000000002</v>
      </c>
    </row>
    <row r="148" spans="1:82" ht="14.25" x14ac:dyDescent="0.2">
      <c r="A148" s="41"/>
      <c r="B148" s="41"/>
      <c r="C148" s="41" t="s">
        <v>337</v>
      </c>
      <c r="D148" s="42"/>
      <c r="E148" s="43"/>
      <c r="F148" s="43"/>
      <c r="G148" s="43"/>
      <c r="H148" s="45"/>
      <c r="I148" s="44"/>
      <c r="J148" s="45"/>
      <c r="K148" s="44"/>
      <c r="L148" s="45">
        <f>SUM(AR133:AR151)+SUM(AS133:AS151)+SUM(AT133:AT151)+SUM(AU133:AU151)+SUM(AV133:AV151)</f>
        <v>170.06</v>
      </c>
    </row>
    <row r="149" spans="1:82" ht="28.5" x14ac:dyDescent="0.2">
      <c r="A149" s="41"/>
      <c r="B149" s="41" t="s">
        <v>27</v>
      </c>
      <c r="C149" s="41" t="s">
        <v>338</v>
      </c>
      <c r="D149" s="42" t="s">
        <v>271</v>
      </c>
      <c r="E149" s="43">
        <f>Source!BZ67</f>
        <v>97</v>
      </c>
      <c r="F149" s="43"/>
      <c r="G149" s="43">
        <f>Source!AT67</f>
        <v>97</v>
      </c>
      <c r="H149" s="45"/>
      <c r="I149" s="44"/>
      <c r="J149" s="45"/>
      <c r="K149" s="44"/>
      <c r="L149" s="45">
        <f>SUM(AZ133:AZ151)</f>
        <v>164.96</v>
      </c>
    </row>
    <row r="150" spans="1:82" ht="28.5" x14ac:dyDescent="0.2">
      <c r="A150" s="50"/>
      <c r="B150" s="50" t="s">
        <v>28</v>
      </c>
      <c r="C150" s="50" t="s">
        <v>339</v>
      </c>
      <c r="D150" s="51" t="s">
        <v>271</v>
      </c>
      <c r="E150" s="52">
        <f>Source!CA67</f>
        <v>51</v>
      </c>
      <c r="F150" s="52"/>
      <c r="G150" s="52">
        <f>Source!AU67</f>
        <v>51</v>
      </c>
      <c r="H150" s="53"/>
      <c r="I150" s="54"/>
      <c r="J150" s="53"/>
      <c r="K150" s="54"/>
      <c r="L150" s="53">
        <f>SUM(BA133:BA151)</f>
        <v>86.73</v>
      </c>
    </row>
    <row r="151" spans="1:82" ht="15" x14ac:dyDescent="0.2">
      <c r="C151" s="84" t="s">
        <v>340</v>
      </c>
      <c r="D151" s="84"/>
      <c r="E151" s="84"/>
      <c r="F151" s="84"/>
      <c r="G151" s="84"/>
      <c r="H151" s="84"/>
      <c r="I151" s="85">
        <f>IF(E133&lt;&gt;0,K151/E133, 0)</f>
        <v>42451.000000000007</v>
      </c>
      <c r="J151" s="85"/>
      <c r="K151" s="85">
        <f>L135+L137+L143+L149+L150+L138</f>
        <v>424.51000000000005</v>
      </c>
      <c r="L151" s="85"/>
      <c r="AD151">
        <f>ROUND((Source!AT67/100)*((ROUND(SUMIF(SmtRes!AQ17:'SmtRes'!AQ23,"=1",SmtRes!AD17:'SmtRes'!AD23)*Source!I67, 2)+ROUND(SUMIF(SmtRes!AQ17:'SmtRes'!AQ23,"=1",SmtRes!AC17:'SmtRes'!AC23)*Source!I67, 2))), 2)</f>
        <v>17.39</v>
      </c>
      <c r="AE151">
        <f>ROUND((Source!AU67/100)*((ROUND(SUMIF(SmtRes!AQ17:'SmtRes'!AQ23,"=1",SmtRes!AD17:'SmtRes'!AD23)*Source!I67, 2)+ROUND(SUMIF(SmtRes!AQ17:'SmtRes'!AQ23,"=1",SmtRes!AC17:'SmtRes'!AC23)*Source!I67, 2))), 2)</f>
        <v>9.14</v>
      </c>
      <c r="AN151" s="55">
        <f>L135+L137+L143+L149+L150+L138</f>
        <v>424.51000000000005</v>
      </c>
      <c r="AO151" s="55">
        <f>L137</f>
        <v>0.67999999999999994</v>
      </c>
      <c r="AQ151" t="s">
        <v>341</v>
      </c>
      <c r="AR151" s="55">
        <f>L135</f>
        <v>169.68</v>
      </c>
      <c r="AT151" s="55">
        <f>L138</f>
        <v>0.38</v>
      </c>
      <c r="AV151" t="s">
        <v>341</v>
      </c>
      <c r="AW151" s="55">
        <f>L143</f>
        <v>2.08</v>
      </c>
      <c r="AZ151">
        <f>Source!X67</f>
        <v>164.96</v>
      </c>
      <c r="BA151">
        <f>Source!Y67</f>
        <v>86.73</v>
      </c>
      <c r="CD151">
        <v>2</v>
      </c>
    </row>
    <row r="153" spans="1:82" ht="15" x14ac:dyDescent="0.2">
      <c r="A153" s="59"/>
      <c r="B153" s="60"/>
      <c r="C153" s="80" t="s">
        <v>342</v>
      </c>
      <c r="D153" s="80"/>
      <c r="E153" s="80"/>
      <c r="F153" s="80"/>
      <c r="G153" s="80"/>
      <c r="H153" s="80"/>
      <c r="I153" s="49"/>
      <c r="J153" s="59"/>
      <c r="K153" s="61"/>
      <c r="L153" s="49">
        <f>L155+L156+L162+L166</f>
        <v>5771.2000000000007</v>
      </c>
    </row>
    <row r="154" spans="1:82" ht="14.25" x14ac:dyDescent="0.2">
      <c r="A154" s="57"/>
      <c r="B154" s="58"/>
      <c r="C154" s="81" t="s">
        <v>343</v>
      </c>
      <c r="D154" s="79"/>
      <c r="E154" s="79"/>
      <c r="F154" s="79"/>
      <c r="G154" s="79"/>
      <c r="H154" s="79"/>
      <c r="I154" s="45"/>
      <c r="J154" s="57"/>
      <c r="K154" s="43"/>
      <c r="L154" s="45"/>
    </row>
    <row r="155" spans="1:82" ht="14.25" x14ac:dyDescent="0.2">
      <c r="A155" s="57"/>
      <c r="B155" s="58"/>
      <c r="C155" s="79" t="s">
        <v>344</v>
      </c>
      <c r="D155" s="79"/>
      <c r="E155" s="79"/>
      <c r="F155" s="79"/>
      <c r="G155" s="79"/>
      <c r="H155" s="79"/>
      <c r="I155" s="45"/>
      <c r="J155" s="57"/>
      <c r="K155" s="43"/>
      <c r="L155" s="45">
        <f>SUM(AR110:AR151)</f>
        <v>1257.3800000000001</v>
      </c>
    </row>
    <row r="156" spans="1:82" ht="14.25" hidden="1" x14ac:dyDescent="0.2">
      <c r="A156" s="57"/>
      <c r="B156" s="58"/>
      <c r="C156" s="79" t="s">
        <v>345</v>
      </c>
      <c r="D156" s="79"/>
      <c r="E156" s="79"/>
      <c r="F156" s="79"/>
      <c r="G156" s="79"/>
      <c r="H156" s="79"/>
      <c r="I156" s="45"/>
      <c r="J156" s="57"/>
      <c r="K156" s="43"/>
      <c r="L156" s="45">
        <f>L158+L161+L160</f>
        <v>1.06</v>
      </c>
    </row>
    <row r="157" spans="1:82" ht="14.25" hidden="1" x14ac:dyDescent="0.2">
      <c r="A157" s="57"/>
      <c r="B157" s="58"/>
      <c r="C157" s="81" t="s">
        <v>346</v>
      </c>
      <c r="D157" s="79"/>
      <c r="E157" s="79"/>
      <c r="F157" s="79"/>
      <c r="G157" s="79"/>
      <c r="H157" s="79"/>
      <c r="I157" s="45"/>
      <c r="J157" s="57"/>
      <c r="K157" s="43"/>
      <c r="L157" s="45"/>
    </row>
    <row r="158" spans="1:82" ht="14.25" x14ac:dyDescent="0.2">
      <c r="A158" s="57"/>
      <c r="B158" s="58"/>
      <c r="C158" s="79" t="s">
        <v>345</v>
      </c>
      <c r="D158" s="79"/>
      <c r="E158" s="79"/>
      <c r="F158" s="79"/>
      <c r="G158" s="79"/>
      <c r="H158" s="79"/>
      <c r="I158" s="45"/>
      <c r="J158" s="57"/>
      <c r="K158" s="43"/>
      <c r="L158" s="45">
        <f>SUM(AO110:AO151)</f>
        <v>0.67999999999999994</v>
      </c>
    </row>
    <row r="159" spans="1:82" ht="14.25" hidden="1" x14ac:dyDescent="0.2">
      <c r="A159" s="57"/>
      <c r="B159" s="58"/>
      <c r="C159" s="81" t="s">
        <v>347</v>
      </c>
      <c r="D159" s="79"/>
      <c r="E159" s="79"/>
      <c r="F159" s="79"/>
      <c r="G159" s="79"/>
      <c r="H159" s="79"/>
      <c r="I159" s="45"/>
      <c r="J159" s="57"/>
      <c r="K159" s="43"/>
      <c r="L159" s="45"/>
    </row>
    <row r="160" spans="1:82" ht="14.25" x14ac:dyDescent="0.2">
      <c r="A160" s="57"/>
      <c r="B160" s="58"/>
      <c r="C160" s="79" t="s">
        <v>367</v>
      </c>
      <c r="D160" s="79"/>
      <c r="E160" s="79"/>
      <c r="F160" s="79"/>
      <c r="G160" s="79"/>
      <c r="H160" s="79"/>
      <c r="I160" s="45"/>
      <c r="J160" s="57"/>
      <c r="K160" s="43"/>
      <c r="L160" s="45">
        <f>SUM(AT110:AT151)</f>
        <v>0.38</v>
      </c>
    </row>
    <row r="161" spans="1:12" ht="14.25" hidden="1" x14ac:dyDescent="0.2">
      <c r="A161" s="57"/>
      <c r="B161" s="58"/>
      <c r="C161" s="79" t="s">
        <v>348</v>
      </c>
      <c r="D161" s="79"/>
      <c r="E161" s="79"/>
      <c r="F161" s="79"/>
      <c r="G161" s="79"/>
      <c r="H161" s="79"/>
      <c r="I161" s="45"/>
      <c r="J161" s="57"/>
      <c r="K161" s="43"/>
      <c r="L161" s="45">
        <f>SUM(AV110:AV151)</f>
        <v>0</v>
      </c>
    </row>
    <row r="162" spans="1:12" ht="14.25" x14ac:dyDescent="0.2">
      <c r="A162" s="57"/>
      <c r="B162" s="58"/>
      <c r="C162" s="79" t="s">
        <v>349</v>
      </c>
      <c r="D162" s="79"/>
      <c r="E162" s="79"/>
      <c r="F162" s="79"/>
      <c r="G162" s="79"/>
      <c r="H162" s="79"/>
      <c r="I162" s="45"/>
      <c r="J162" s="57"/>
      <c r="K162" s="43"/>
      <c r="L162" s="45">
        <f>L164+L165</f>
        <v>4512.76</v>
      </c>
    </row>
    <row r="163" spans="1:12" ht="14.25" x14ac:dyDescent="0.2">
      <c r="A163" s="57"/>
      <c r="B163" s="58"/>
      <c r="C163" s="81" t="s">
        <v>346</v>
      </c>
      <c r="D163" s="79"/>
      <c r="E163" s="79"/>
      <c r="F163" s="79"/>
      <c r="G163" s="79"/>
      <c r="H163" s="79"/>
      <c r="I163" s="45"/>
      <c r="J163" s="57"/>
      <c r="K163" s="43"/>
      <c r="L163" s="45"/>
    </row>
    <row r="164" spans="1:12" ht="14.25" x14ac:dyDescent="0.2">
      <c r="A164" s="57"/>
      <c r="B164" s="58"/>
      <c r="C164" s="79" t="s">
        <v>350</v>
      </c>
      <c r="D164" s="79"/>
      <c r="E164" s="79"/>
      <c r="F164" s="79"/>
      <c r="G164" s="79"/>
      <c r="H164" s="79"/>
      <c r="I164" s="45"/>
      <c r="J164" s="57"/>
      <c r="K164" s="43"/>
      <c r="L164" s="45">
        <f>SUM(AW110:AW151)-SUM(BK110:BK151)</f>
        <v>4512.76</v>
      </c>
    </row>
    <row r="165" spans="1:12" ht="14.25" hidden="1" x14ac:dyDescent="0.2">
      <c r="A165" s="57"/>
      <c r="B165" s="58"/>
      <c r="C165" s="79" t="s">
        <v>351</v>
      </c>
      <c r="D165" s="79"/>
      <c r="E165" s="79"/>
      <c r="F165" s="79"/>
      <c r="G165" s="79"/>
      <c r="H165" s="79"/>
      <c r="I165" s="45"/>
      <c r="J165" s="57"/>
      <c r="K165" s="43"/>
      <c r="L165" s="45">
        <f>SUM(BC110:BC151)</f>
        <v>0</v>
      </c>
    </row>
    <row r="166" spans="1:12" ht="14.25" hidden="1" x14ac:dyDescent="0.2">
      <c r="A166" s="57"/>
      <c r="B166" s="58"/>
      <c r="C166" s="79" t="s">
        <v>352</v>
      </c>
      <c r="D166" s="79"/>
      <c r="E166" s="79"/>
      <c r="F166" s="79"/>
      <c r="G166" s="79"/>
      <c r="H166" s="79"/>
      <c r="I166" s="45"/>
      <c r="J166" s="57"/>
      <c r="K166" s="43"/>
      <c r="L166" s="45">
        <f>SUM(BB110:BB151)</f>
        <v>0</v>
      </c>
    </row>
    <row r="167" spans="1:12" ht="14.25" x14ac:dyDescent="0.2">
      <c r="A167" s="57"/>
      <c r="B167" s="58"/>
      <c r="C167" s="79" t="s">
        <v>353</v>
      </c>
      <c r="D167" s="79"/>
      <c r="E167" s="79"/>
      <c r="F167" s="79"/>
      <c r="G167" s="79"/>
      <c r="H167" s="79"/>
      <c r="I167" s="45"/>
      <c r="J167" s="57"/>
      <c r="K167" s="43"/>
      <c r="L167" s="45">
        <f>SUM(AR110:AR151)+SUM(AT110:AT151)+SUM(AV110:AV151)</f>
        <v>1257.7600000000002</v>
      </c>
    </row>
    <row r="168" spans="1:12" ht="14.25" x14ac:dyDescent="0.2">
      <c r="A168" s="57"/>
      <c r="B168" s="58"/>
      <c r="C168" s="79" t="s">
        <v>354</v>
      </c>
      <c r="D168" s="79"/>
      <c r="E168" s="79"/>
      <c r="F168" s="79"/>
      <c r="G168" s="79"/>
      <c r="H168" s="79"/>
      <c r="I168" s="45"/>
      <c r="J168" s="57"/>
      <c r="K168" s="43"/>
      <c r="L168" s="45">
        <f>SUM(AZ110:AZ151)</f>
        <v>1220.03</v>
      </c>
    </row>
    <row r="169" spans="1:12" ht="14.25" x14ac:dyDescent="0.2">
      <c r="A169" s="57"/>
      <c r="B169" s="58"/>
      <c r="C169" s="79" t="s">
        <v>355</v>
      </c>
      <c r="D169" s="79"/>
      <c r="E169" s="79"/>
      <c r="F169" s="79"/>
      <c r="G169" s="79"/>
      <c r="H169" s="79"/>
      <c r="I169" s="45"/>
      <c r="J169" s="57"/>
      <c r="K169" s="43"/>
      <c r="L169" s="45">
        <f>SUM(BA110:BA151)</f>
        <v>641.46</v>
      </c>
    </row>
    <row r="170" spans="1:12" ht="14.25" hidden="1" x14ac:dyDescent="0.2">
      <c r="A170" s="57"/>
      <c r="B170" s="58"/>
      <c r="C170" s="79" t="s">
        <v>356</v>
      </c>
      <c r="D170" s="79"/>
      <c r="E170" s="79"/>
      <c r="F170" s="79"/>
      <c r="G170" s="79"/>
      <c r="H170" s="79"/>
      <c r="I170" s="45"/>
      <c r="J170" s="57"/>
      <c r="K170" s="43"/>
      <c r="L170" s="45">
        <f>L172+L173</f>
        <v>0</v>
      </c>
    </row>
    <row r="171" spans="1:12" ht="14.25" hidden="1" x14ac:dyDescent="0.2">
      <c r="A171" s="57"/>
      <c r="B171" s="58"/>
      <c r="C171" s="81" t="s">
        <v>343</v>
      </c>
      <c r="D171" s="79"/>
      <c r="E171" s="79"/>
      <c r="F171" s="79"/>
      <c r="G171" s="79"/>
      <c r="H171" s="79"/>
      <c r="I171" s="45"/>
      <c r="J171" s="57"/>
      <c r="K171" s="43"/>
      <c r="L171" s="45"/>
    </row>
    <row r="172" spans="1:12" ht="14.25" hidden="1" x14ac:dyDescent="0.2">
      <c r="A172" s="57"/>
      <c r="B172" s="58"/>
      <c r="C172" s="79" t="s">
        <v>357</v>
      </c>
      <c r="D172" s="79"/>
      <c r="E172" s="79"/>
      <c r="F172" s="79"/>
      <c r="G172" s="79"/>
      <c r="H172" s="79"/>
      <c r="I172" s="45"/>
      <c r="J172" s="57"/>
      <c r="K172" s="43"/>
      <c r="L172" s="45">
        <f>SUM(BK110:BK151)</f>
        <v>0</v>
      </c>
    </row>
    <row r="173" spans="1:12" ht="14.25" hidden="1" x14ac:dyDescent="0.2">
      <c r="A173" s="57"/>
      <c r="B173" s="58"/>
      <c r="C173" s="79" t="s">
        <v>358</v>
      </c>
      <c r="D173" s="79"/>
      <c r="E173" s="79"/>
      <c r="F173" s="79"/>
      <c r="G173" s="79"/>
      <c r="H173" s="79"/>
      <c r="I173" s="45"/>
      <c r="J173" s="57"/>
      <c r="K173" s="43"/>
      <c r="L173" s="45">
        <f>SUM(BD110:BD151)</f>
        <v>0</v>
      </c>
    </row>
    <row r="174" spans="1:12" ht="14.25" hidden="1" x14ac:dyDescent="0.2">
      <c r="A174" s="57"/>
      <c r="B174" s="58"/>
      <c r="C174" s="79" t="s">
        <v>359</v>
      </c>
      <c r="D174" s="79"/>
      <c r="E174" s="79"/>
      <c r="F174" s="79"/>
      <c r="G174" s="79"/>
      <c r="H174" s="79"/>
      <c r="I174" s="45"/>
      <c r="J174" s="57"/>
      <c r="K174" s="43"/>
      <c r="L174" s="45"/>
    </row>
    <row r="175" spans="1:12" ht="14.25" hidden="1" x14ac:dyDescent="0.2">
      <c r="A175" s="57"/>
      <c r="B175" s="58"/>
      <c r="C175" s="79" t="s">
        <v>359</v>
      </c>
      <c r="D175" s="79"/>
      <c r="E175" s="79"/>
      <c r="F175" s="79"/>
      <c r="G175" s="79"/>
      <c r="H175" s="79"/>
      <c r="I175" s="45"/>
      <c r="J175" s="57"/>
      <c r="K175" s="43"/>
      <c r="L175" s="45">
        <f>SUM(BQ110:BQ151)</f>
        <v>0</v>
      </c>
    </row>
    <row r="176" spans="1:12" ht="14.25" hidden="1" x14ac:dyDescent="0.2">
      <c r="A176" s="57"/>
      <c r="B176" s="58"/>
      <c r="C176" s="79" t="s">
        <v>360</v>
      </c>
      <c r="D176" s="79"/>
      <c r="E176" s="79"/>
      <c r="F176" s="79"/>
      <c r="G176" s="79"/>
      <c r="H176" s="79"/>
      <c r="I176" s="45"/>
      <c r="J176" s="57"/>
      <c r="K176" s="43"/>
      <c r="L176" s="45">
        <f>SUM(BO110:BO151)</f>
        <v>0</v>
      </c>
    </row>
    <row r="177" spans="1:12" ht="15" x14ac:dyDescent="0.2">
      <c r="A177" s="59"/>
      <c r="B177" s="60"/>
      <c r="C177" s="80" t="s">
        <v>361</v>
      </c>
      <c r="D177" s="80"/>
      <c r="E177" s="80"/>
      <c r="F177" s="80"/>
      <c r="G177" s="80"/>
      <c r="H177" s="80"/>
      <c r="I177" s="49"/>
      <c r="J177" s="59"/>
      <c r="K177" s="61"/>
      <c r="L177" s="49">
        <f>L153+L168+L169+L170+L175+L176</f>
        <v>7632.6900000000005</v>
      </c>
    </row>
    <row r="178" spans="1:12" ht="14.25" x14ac:dyDescent="0.2">
      <c r="A178" s="57"/>
      <c r="B178" s="58"/>
      <c r="C178" s="81" t="s">
        <v>362</v>
      </c>
      <c r="D178" s="79"/>
      <c r="E178" s="79"/>
      <c r="F178" s="79"/>
      <c r="G178" s="79"/>
      <c r="H178" s="79"/>
      <c r="I178" s="45"/>
      <c r="J178" s="57"/>
      <c r="K178" s="43"/>
      <c r="L178" s="45"/>
    </row>
    <row r="179" spans="1:12" ht="14.25" x14ac:dyDescent="0.2">
      <c r="A179" s="57"/>
      <c r="B179" s="58"/>
      <c r="C179" s="79" t="s">
        <v>363</v>
      </c>
      <c r="D179" s="79"/>
      <c r="E179" s="79"/>
      <c r="F179" s="79"/>
      <c r="G179" s="79"/>
      <c r="H179" s="79"/>
      <c r="I179" s="45"/>
      <c r="J179" s="57"/>
      <c r="K179" s="43"/>
      <c r="L179" s="45">
        <f>SUM(AX110:AX151)</f>
        <v>4388.75</v>
      </c>
    </row>
    <row r="180" spans="1:12" ht="14.25" hidden="1" x14ac:dyDescent="0.2">
      <c r="A180" s="57"/>
      <c r="B180" s="58"/>
      <c r="C180" s="79" t="s">
        <v>364</v>
      </c>
      <c r="D180" s="79"/>
      <c r="E180" s="79"/>
      <c r="F180" s="79"/>
      <c r="G180" s="79"/>
      <c r="H180" s="79"/>
      <c r="I180" s="45"/>
      <c r="J180" s="57"/>
      <c r="K180" s="43"/>
      <c r="L180" s="45">
        <f>SUM(AY110:AY151)</f>
        <v>0</v>
      </c>
    </row>
    <row r="181" spans="1:12" ht="14.25" x14ac:dyDescent="0.2">
      <c r="A181" s="57"/>
      <c r="B181" s="58"/>
      <c r="C181" s="79" t="s">
        <v>365</v>
      </c>
      <c r="D181" s="79"/>
      <c r="E181" s="79"/>
      <c r="F181" s="82"/>
      <c r="G181" s="48">
        <f>Source!F91</f>
        <v>2.3832</v>
      </c>
      <c r="H181" s="57"/>
      <c r="I181" s="57"/>
      <c r="J181" s="57"/>
      <c r="K181" s="57"/>
      <c r="L181" s="57"/>
    </row>
    <row r="182" spans="1:12" ht="14.25" x14ac:dyDescent="0.2">
      <c r="A182" s="57"/>
      <c r="B182" s="58"/>
      <c r="C182" s="79" t="s">
        <v>366</v>
      </c>
      <c r="D182" s="79"/>
      <c r="E182" s="79"/>
      <c r="F182" s="82"/>
      <c r="G182" s="48">
        <f>Source!F92</f>
        <v>5.9999999999999995E-4</v>
      </c>
      <c r="H182" s="57"/>
      <c r="I182" s="57"/>
      <c r="J182" s="57"/>
      <c r="K182" s="57"/>
      <c r="L182" s="57"/>
    </row>
    <row r="183" spans="1:12" ht="16.5" x14ac:dyDescent="0.2">
      <c r="A183" s="86" t="s">
        <v>373</v>
      </c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1:12" ht="42.75" x14ac:dyDescent="0.2">
      <c r="A184" s="39" t="s">
        <v>102</v>
      </c>
      <c r="B184" s="41" t="s">
        <v>374</v>
      </c>
      <c r="C184" s="41" t="str">
        <f>Source!G103</f>
        <v>Проверка наличия цепи между заземлителями и заземленными элементами</v>
      </c>
      <c r="D184" s="42" t="str">
        <f>Source!H103</f>
        <v>100 измерений</v>
      </c>
      <c r="E184" s="43">
        <f>Source!K103</f>
        <v>0.01</v>
      </c>
      <c r="F184" s="43"/>
      <c r="G184" s="43">
        <f>Source!I103</f>
        <v>0.01</v>
      </c>
      <c r="H184" s="45"/>
      <c r="I184" s="44"/>
      <c r="J184" s="45"/>
      <c r="K184" s="44"/>
      <c r="L184" s="45"/>
    </row>
    <row r="185" spans="1:12" x14ac:dyDescent="0.2">
      <c r="C185" s="47" t="str">
        <f>"Объем: "&amp;Source!I103&amp;"=1/"&amp;"100"</f>
        <v>Объем: 0,01=1/100</v>
      </c>
    </row>
    <row r="186" spans="1:12" ht="15" x14ac:dyDescent="0.2">
      <c r="A186" s="40"/>
      <c r="B186" s="43">
        <v>1</v>
      </c>
      <c r="C186" s="40" t="s">
        <v>330</v>
      </c>
      <c r="D186" s="42" t="s">
        <v>213</v>
      </c>
      <c r="E186" s="48"/>
      <c r="F186" s="43"/>
      <c r="G186" s="43">
        <f>Source!U103</f>
        <v>0.12959999999999999</v>
      </c>
      <c r="H186" s="43"/>
      <c r="I186" s="43"/>
      <c r="J186" s="43"/>
      <c r="K186" s="43"/>
      <c r="L186" s="49">
        <f>SUM(L187:L188)-SUMIF(CE187:CE188, 1, L187:L188)</f>
        <v>92.91</v>
      </c>
    </row>
    <row r="187" spans="1:12" ht="14.25" x14ac:dyDescent="0.2">
      <c r="A187" s="41"/>
      <c r="B187" s="41" t="s">
        <v>262</v>
      </c>
      <c r="C187" s="41" t="s">
        <v>263</v>
      </c>
      <c r="D187" s="42" t="s">
        <v>264</v>
      </c>
      <c r="E187" s="43">
        <v>6.48</v>
      </c>
      <c r="F187" s="43"/>
      <c r="G187" s="43">
        <f>SmtRes!CX24</f>
        <v>6.4799999999999996E-2</v>
      </c>
      <c r="H187" s="45"/>
      <c r="I187" s="44"/>
      <c r="J187" s="45">
        <f>SmtRes!CZ24</f>
        <v>724.95</v>
      </c>
      <c r="K187" s="44"/>
      <c r="L187" s="45">
        <f>SmtRes!DI24</f>
        <v>46.98</v>
      </c>
    </row>
    <row r="188" spans="1:12" ht="14.25" x14ac:dyDescent="0.2">
      <c r="A188" s="41"/>
      <c r="B188" s="41" t="s">
        <v>265</v>
      </c>
      <c r="C188" s="50" t="s">
        <v>266</v>
      </c>
      <c r="D188" s="51" t="s">
        <v>264</v>
      </c>
      <c r="E188" s="52">
        <v>6.48</v>
      </c>
      <c r="F188" s="52"/>
      <c r="G188" s="52">
        <f>SmtRes!CX25</f>
        <v>6.4799999999999996E-2</v>
      </c>
      <c r="H188" s="53"/>
      <c r="I188" s="54"/>
      <c r="J188" s="53">
        <f>SmtRes!CZ25</f>
        <v>708.84</v>
      </c>
      <c r="K188" s="54"/>
      <c r="L188" s="53">
        <f>SmtRes!DI25</f>
        <v>45.93</v>
      </c>
    </row>
    <row r="189" spans="1:12" ht="15" x14ac:dyDescent="0.2">
      <c r="A189" s="41"/>
      <c r="B189" s="41"/>
      <c r="C189" s="56" t="s">
        <v>336</v>
      </c>
      <c r="D189" s="42"/>
      <c r="E189" s="43"/>
      <c r="F189" s="43"/>
      <c r="G189" s="43"/>
      <c r="H189" s="45"/>
      <c r="I189" s="44"/>
      <c r="J189" s="45"/>
      <c r="K189" s="44"/>
      <c r="L189" s="45">
        <f>L186</f>
        <v>92.91</v>
      </c>
    </row>
    <row r="190" spans="1:12" ht="14.25" x14ac:dyDescent="0.2">
      <c r="A190" s="41"/>
      <c r="B190" s="41"/>
      <c r="C190" s="41" t="s">
        <v>337</v>
      </c>
      <c r="D190" s="42"/>
      <c r="E190" s="43"/>
      <c r="F190" s="43"/>
      <c r="G190" s="43"/>
      <c r="H190" s="45"/>
      <c r="I190" s="44"/>
      <c r="J190" s="45"/>
      <c r="K190" s="44"/>
      <c r="L190" s="45">
        <f>SUM(AR184:AR193)+SUM(AS184:AS193)+SUM(AT184:AT193)+SUM(AU184:AU193)+SUM(AV184:AV193)</f>
        <v>92.91</v>
      </c>
    </row>
    <row r="191" spans="1:12" ht="14.25" x14ac:dyDescent="0.2">
      <c r="A191" s="41"/>
      <c r="B191" s="41" t="s">
        <v>110</v>
      </c>
      <c r="C191" s="41" t="s">
        <v>375</v>
      </c>
      <c r="D191" s="42" t="s">
        <v>271</v>
      </c>
      <c r="E191" s="43">
        <f>Source!BZ103</f>
        <v>74</v>
      </c>
      <c r="F191" s="43"/>
      <c r="G191" s="43">
        <f>Source!AT103</f>
        <v>74</v>
      </c>
      <c r="H191" s="45"/>
      <c r="I191" s="44"/>
      <c r="J191" s="45"/>
      <c r="K191" s="44"/>
      <c r="L191" s="45">
        <f>SUM(AZ184:AZ193)</f>
        <v>68.75</v>
      </c>
    </row>
    <row r="192" spans="1:12" ht="14.25" x14ac:dyDescent="0.2">
      <c r="A192" s="50"/>
      <c r="B192" s="50" t="s">
        <v>111</v>
      </c>
      <c r="C192" s="50" t="s">
        <v>376</v>
      </c>
      <c r="D192" s="51" t="s">
        <v>271</v>
      </c>
      <c r="E192" s="52">
        <f>Source!CA103</f>
        <v>36</v>
      </c>
      <c r="F192" s="52"/>
      <c r="G192" s="52">
        <f>Source!AU103</f>
        <v>36</v>
      </c>
      <c r="H192" s="53"/>
      <c r="I192" s="54"/>
      <c r="J192" s="53"/>
      <c r="K192" s="54"/>
      <c r="L192" s="53">
        <f>SUM(BA184:BA193)</f>
        <v>33.450000000000003</v>
      </c>
    </row>
    <row r="193" spans="1:82" ht="15" x14ac:dyDescent="0.2">
      <c r="C193" s="84" t="s">
        <v>340</v>
      </c>
      <c r="D193" s="84"/>
      <c r="E193" s="84"/>
      <c r="F193" s="84"/>
      <c r="G193" s="84"/>
      <c r="H193" s="84"/>
      <c r="I193" s="85">
        <f>IF(E184&lt;&gt;0,K193/E184, 0)</f>
        <v>19511</v>
      </c>
      <c r="J193" s="85"/>
      <c r="K193" s="85">
        <f>L186+L191+L192</f>
        <v>195.11</v>
      </c>
      <c r="L193" s="85"/>
      <c r="AD193">
        <f>ROUND((Source!AT103/100)*((ROUND(SUMIF(SmtRes!AQ24:'SmtRes'!AQ25,"=1",SmtRes!AD24:'SmtRes'!AD25)*Source!I103, 2)+ROUND(SUMIF(SmtRes!AQ24:'SmtRes'!AQ25,"=1",SmtRes!AC24:'SmtRes'!AC25)*Source!I103, 2))), 2)</f>
        <v>10.61</v>
      </c>
      <c r="AE193">
        <f>ROUND((Source!AU103/100)*((ROUND(SUMIF(SmtRes!AQ24:'SmtRes'!AQ25,"=1",SmtRes!AD24:'SmtRes'!AD25)*Source!I103, 2)+ROUND(SUMIF(SmtRes!AQ24:'SmtRes'!AQ25,"=1",SmtRes!AC24:'SmtRes'!AC25)*Source!I103, 2))), 2)</f>
        <v>5.16</v>
      </c>
      <c r="AN193" s="55">
        <f>L186+L191+L192</f>
        <v>195.11</v>
      </c>
      <c r="AO193">
        <f>0</f>
        <v>0</v>
      </c>
      <c r="AQ193" t="s">
        <v>341</v>
      </c>
      <c r="AR193" s="55">
        <f>L186</f>
        <v>92.91</v>
      </c>
      <c r="AT193">
        <f>0</f>
        <v>0</v>
      </c>
      <c r="AV193" t="s">
        <v>341</v>
      </c>
      <c r="AW193">
        <f>0</f>
        <v>0</v>
      </c>
      <c r="AZ193">
        <f>Source!X103</f>
        <v>68.75</v>
      </c>
      <c r="BA193">
        <f>Source!Y103</f>
        <v>33.450000000000003</v>
      </c>
      <c r="BT193" s="55">
        <f>K193</f>
        <v>195.11</v>
      </c>
      <c r="BW193">
        <f>ROUND(K193*80/100, 2)</f>
        <v>156.09</v>
      </c>
      <c r="BX193" s="55">
        <f>K193-BW193</f>
        <v>39.02000000000001</v>
      </c>
      <c r="CB193">
        <f>Source!BM103</f>
        <v>200001</v>
      </c>
      <c r="CC193" t="str">
        <f>Source!E103</f>
        <v>5</v>
      </c>
      <c r="CD193">
        <v>4</v>
      </c>
    </row>
    <row r="194" spans="1:82" ht="28.5" x14ac:dyDescent="0.2">
      <c r="A194" s="39" t="s">
        <v>112</v>
      </c>
      <c r="B194" s="41" t="s">
        <v>377</v>
      </c>
      <c r="C194" s="41" t="str">
        <f>Source!G104</f>
        <v>Испытание кабеля силового длиной до 500 м напряжением: до 10 кВ</v>
      </c>
      <c r="D194" s="42" t="str">
        <f>Source!H104</f>
        <v>испытание</v>
      </c>
      <c r="E194" s="43">
        <f>Source!K104</f>
        <v>1</v>
      </c>
      <c r="F194" s="43"/>
      <c r="G194" s="43">
        <f>Source!I104</f>
        <v>1</v>
      </c>
      <c r="H194" s="45"/>
      <c r="I194" s="44"/>
      <c r="J194" s="45"/>
      <c r="K194" s="44"/>
      <c r="L194" s="45"/>
    </row>
    <row r="195" spans="1:82" ht="15" x14ac:dyDescent="0.2">
      <c r="A195" s="40"/>
      <c r="B195" s="43">
        <v>1</v>
      </c>
      <c r="C195" s="40" t="s">
        <v>330</v>
      </c>
      <c r="D195" s="42" t="s">
        <v>213</v>
      </c>
      <c r="E195" s="48"/>
      <c r="F195" s="43"/>
      <c r="G195" s="43">
        <f>Source!U104</f>
        <v>4.8599999999999994</v>
      </c>
      <c r="H195" s="43"/>
      <c r="I195" s="43"/>
      <c r="J195" s="43"/>
      <c r="K195" s="43"/>
      <c r="L195" s="49">
        <f>SUM(L196:L197)-SUMIF(CE196:CE197, 1, L196:L197)</f>
        <v>3116.81</v>
      </c>
    </row>
    <row r="196" spans="1:82" ht="14.25" x14ac:dyDescent="0.2">
      <c r="A196" s="41"/>
      <c r="B196" s="41" t="s">
        <v>267</v>
      </c>
      <c r="C196" s="41" t="s">
        <v>268</v>
      </c>
      <c r="D196" s="42" t="s">
        <v>264</v>
      </c>
      <c r="E196" s="43">
        <v>1.94</v>
      </c>
      <c r="F196" s="43"/>
      <c r="G196" s="43">
        <f>SmtRes!CX26</f>
        <v>1.94</v>
      </c>
      <c r="H196" s="45"/>
      <c r="I196" s="44"/>
      <c r="J196" s="45">
        <f>SmtRes!CZ26</f>
        <v>539.69000000000005</v>
      </c>
      <c r="K196" s="44"/>
      <c r="L196" s="45">
        <f>SmtRes!DI26</f>
        <v>1047</v>
      </c>
    </row>
    <row r="197" spans="1:82" ht="14.25" x14ac:dyDescent="0.2">
      <c r="A197" s="41"/>
      <c r="B197" s="41" t="s">
        <v>265</v>
      </c>
      <c r="C197" s="50" t="s">
        <v>266</v>
      </c>
      <c r="D197" s="51" t="s">
        <v>264</v>
      </c>
      <c r="E197" s="52">
        <v>2.92</v>
      </c>
      <c r="F197" s="52"/>
      <c r="G197" s="52">
        <f>SmtRes!CX27</f>
        <v>2.92</v>
      </c>
      <c r="H197" s="53"/>
      <c r="I197" s="54"/>
      <c r="J197" s="53">
        <f>SmtRes!CZ27</f>
        <v>708.84</v>
      </c>
      <c r="K197" s="54"/>
      <c r="L197" s="53">
        <f>SmtRes!DI27</f>
        <v>2069.81</v>
      </c>
    </row>
    <row r="198" spans="1:82" ht="15" x14ac:dyDescent="0.2">
      <c r="A198" s="41"/>
      <c r="B198" s="41"/>
      <c r="C198" s="56" t="s">
        <v>336</v>
      </c>
      <c r="D198" s="42"/>
      <c r="E198" s="43"/>
      <c r="F198" s="43"/>
      <c r="G198" s="43"/>
      <c r="H198" s="45"/>
      <c r="I198" s="44"/>
      <c r="J198" s="45"/>
      <c r="K198" s="44"/>
      <c r="L198" s="45">
        <f>L195</f>
        <v>3116.81</v>
      </c>
    </row>
    <row r="199" spans="1:82" ht="14.25" x14ac:dyDescent="0.2">
      <c r="A199" s="41"/>
      <c r="B199" s="41"/>
      <c r="C199" s="41" t="s">
        <v>337</v>
      </c>
      <c r="D199" s="42"/>
      <c r="E199" s="43"/>
      <c r="F199" s="43"/>
      <c r="G199" s="43"/>
      <c r="H199" s="45"/>
      <c r="I199" s="44"/>
      <c r="J199" s="45"/>
      <c r="K199" s="44"/>
      <c r="L199" s="45">
        <f>SUM(AR194:AR202)+SUM(AS194:AS202)+SUM(AT194:AT202)+SUM(AU194:AU202)+SUM(AV194:AV202)</f>
        <v>3116.81</v>
      </c>
    </row>
    <row r="200" spans="1:82" ht="14.25" x14ac:dyDescent="0.2">
      <c r="A200" s="41"/>
      <c r="B200" s="41" t="s">
        <v>110</v>
      </c>
      <c r="C200" s="41" t="s">
        <v>375</v>
      </c>
      <c r="D200" s="42" t="s">
        <v>271</v>
      </c>
      <c r="E200" s="43">
        <f>Source!BZ104</f>
        <v>74</v>
      </c>
      <c r="F200" s="43"/>
      <c r="G200" s="43">
        <f>Source!AT104</f>
        <v>74</v>
      </c>
      <c r="H200" s="45"/>
      <c r="I200" s="44"/>
      <c r="J200" s="45"/>
      <c r="K200" s="44"/>
      <c r="L200" s="45">
        <f>SUM(AZ194:AZ202)</f>
        <v>2306.44</v>
      </c>
    </row>
    <row r="201" spans="1:82" ht="14.25" x14ac:dyDescent="0.2">
      <c r="A201" s="50"/>
      <c r="B201" s="50" t="s">
        <v>111</v>
      </c>
      <c r="C201" s="50" t="s">
        <v>376</v>
      </c>
      <c r="D201" s="51" t="s">
        <v>271</v>
      </c>
      <c r="E201" s="52">
        <f>Source!CA104</f>
        <v>36</v>
      </c>
      <c r="F201" s="52"/>
      <c r="G201" s="52">
        <f>Source!AU104</f>
        <v>36</v>
      </c>
      <c r="H201" s="53"/>
      <c r="I201" s="54"/>
      <c r="J201" s="53"/>
      <c r="K201" s="54"/>
      <c r="L201" s="53">
        <f>SUM(BA194:BA202)</f>
        <v>1122.05</v>
      </c>
    </row>
    <row r="202" spans="1:82" ht="15" x14ac:dyDescent="0.2">
      <c r="C202" s="84" t="s">
        <v>340</v>
      </c>
      <c r="D202" s="84"/>
      <c r="E202" s="84"/>
      <c r="F202" s="84"/>
      <c r="G202" s="84"/>
      <c r="H202" s="84"/>
      <c r="I202" s="85">
        <f>IF(E194&lt;&gt;0,K202/E194, 0)</f>
        <v>6545.3</v>
      </c>
      <c r="J202" s="85"/>
      <c r="K202" s="85">
        <f>L195+L200+L201</f>
        <v>6545.3</v>
      </c>
      <c r="L202" s="85"/>
      <c r="AD202">
        <f>ROUND((Source!AT104/100)*((ROUND(SUMIF(SmtRes!AQ26:'SmtRes'!AQ27,"=1",SmtRes!AD26:'SmtRes'!AD27)*Source!I104, 2)+ROUND(SUMIF(SmtRes!AQ26:'SmtRes'!AQ27,"=1",SmtRes!AC26:'SmtRes'!AC27)*Source!I104, 2))), 2)</f>
        <v>923.91</v>
      </c>
      <c r="AE202">
        <f>ROUND((Source!AU104/100)*((ROUND(SUMIF(SmtRes!AQ26:'SmtRes'!AQ27,"=1",SmtRes!AD26:'SmtRes'!AD27)*Source!I104, 2)+ROUND(SUMIF(SmtRes!AQ26:'SmtRes'!AQ27,"=1",SmtRes!AC26:'SmtRes'!AC27)*Source!I104, 2))), 2)</f>
        <v>449.47</v>
      </c>
      <c r="AN202" s="55">
        <f>L195+L200+L201</f>
        <v>6545.3</v>
      </c>
      <c r="AO202">
        <f>0</f>
        <v>0</v>
      </c>
      <c r="AQ202" t="s">
        <v>341</v>
      </c>
      <c r="AR202" s="55">
        <f>L195</f>
        <v>3116.81</v>
      </c>
      <c r="AT202">
        <f>0</f>
        <v>0</v>
      </c>
      <c r="AV202" t="s">
        <v>341</v>
      </c>
      <c r="AW202">
        <f>0</f>
        <v>0</v>
      </c>
      <c r="AZ202">
        <f>Source!X104</f>
        <v>2306.44</v>
      </c>
      <c r="BA202">
        <f>Source!Y104</f>
        <v>1122.05</v>
      </c>
      <c r="BT202" s="55">
        <f>K202</f>
        <v>6545.3</v>
      </c>
      <c r="BW202">
        <f>ROUND(K202*80/100, 2)</f>
        <v>5236.24</v>
      </c>
      <c r="BX202" s="55">
        <f>K202-BW202</f>
        <v>1309.0600000000004</v>
      </c>
      <c r="CB202">
        <f>Source!BM104</f>
        <v>200001</v>
      </c>
      <c r="CC202" t="str">
        <f>Source!E104</f>
        <v>6</v>
      </c>
      <c r="CD202">
        <v>4</v>
      </c>
    </row>
    <row r="203" spans="1:82" ht="42.75" x14ac:dyDescent="0.2">
      <c r="A203" s="39" t="s">
        <v>117</v>
      </c>
      <c r="B203" s="41" t="s">
        <v>378</v>
      </c>
      <c r="C203" s="41" t="str">
        <f>Source!G105</f>
        <v>Фазировка электрической линии или трансформатора с сетью напряжением: свыше 1 кВ</v>
      </c>
      <c r="D203" s="42" t="str">
        <f>Source!H105</f>
        <v>ШТ</v>
      </c>
      <c r="E203" s="43">
        <f>Source!K105</f>
        <v>3</v>
      </c>
      <c r="F203" s="43"/>
      <c r="G203" s="43">
        <f>Source!I105</f>
        <v>3</v>
      </c>
      <c r="H203" s="45"/>
      <c r="I203" s="44"/>
      <c r="J203" s="45"/>
      <c r="K203" s="44"/>
      <c r="L203" s="45"/>
    </row>
    <row r="204" spans="1:82" ht="15" x14ac:dyDescent="0.2">
      <c r="A204" s="40"/>
      <c r="B204" s="43">
        <v>1</v>
      </c>
      <c r="C204" s="40" t="s">
        <v>330</v>
      </c>
      <c r="D204" s="42" t="s">
        <v>213</v>
      </c>
      <c r="E204" s="48"/>
      <c r="F204" s="43"/>
      <c r="G204" s="43">
        <f>Source!U105</f>
        <v>4.8600000000000003</v>
      </c>
      <c r="H204" s="43"/>
      <c r="I204" s="43"/>
      <c r="J204" s="43"/>
      <c r="K204" s="43"/>
      <c r="L204" s="49">
        <f>SUM(L205:L206)-SUMIF(CE205:CE206, 1, L205:L206)</f>
        <v>3484.11</v>
      </c>
    </row>
    <row r="205" spans="1:82" ht="14.25" x14ac:dyDescent="0.2">
      <c r="A205" s="41"/>
      <c r="B205" s="41" t="s">
        <v>262</v>
      </c>
      <c r="C205" s="41" t="s">
        <v>263</v>
      </c>
      <c r="D205" s="42" t="s">
        <v>264</v>
      </c>
      <c r="E205" s="43">
        <v>0.81</v>
      </c>
      <c r="F205" s="43"/>
      <c r="G205" s="43">
        <f>SmtRes!CX28</f>
        <v>2.4300000000000002</v>
      </c>
      <c r="H205" s="45"/>
      <c r="I205" s="44"/>
      <c r="J205" s="45">
        <f>SmtRes!CZ28</f>
        <v>724.95</v>
      </c>
      <c r="K205" s="44"/>
      <c r="L205" s="45">
        <f>SmtRes!DI28</f>
        <v>1761.63</v>
      </c>
    </row>
    <row r="206" spans="1:82" ht="14.25" x14ac:dyDescent="0.2">
      <c r="A206" s="41"/>
      <c r="B206" s="41" t="s">
        <v>265</v>
      </c>
      <c r="C206" s="50" t="s">
        <v>266</v>
      </c>
      <c r="D206" s="51" t="s">
        <v>264</v>
      </c>
      <c r="E206" s="52">
        <v>0.81</v>
      </c>
      <c r="F206" s="52"/>
      <c r="G206" s="52">
        <f>SmtRes!CX29</f>
        <v>2.4300000000000002</v>
      </c>
      <c r="H206" s="53"/>
      <c r="I206" s="54"/>
      <c r="J206" s="53">
        <f>SmtRes!CZ29</f>
        <v>708.84</v>
      </c>
      <c r="K206" s="54"/>
      <c r="L206" s="53">
        <f>SmtRes!DI29</f>
        <v>1722.48</v>
      </c>
    </row>
    <row r="207" spans="1:82" ht="15" x14ac:dyDescent="0.2">
      <c r="A207" s="41"/>
      <c r="B207" s="41"/>
      <c r="C207" s="56" t="s">
        <v>336</v>
      </c>
      <c r="D207" s="42"/>
      <c r="E207" s="43"/>
      <c r="F207" s="43"/>
      <c r="G207" s="43"/>
      <c r="H207" s="45"/>
      <c r="I207" s="44"/>
      <c r="J207" s="45"/>
      <c r="K207" s="44"/>
      <c r="L207" s="45">
        <f>L204</f>
        <v>3484.11</v>
      </c>
    </row>
    <row r="208" spans="1:82" ht="14.25" x14ac:dyDescent="0.2">
      <c r="A208" s="41"/>
      <c r="B208" s="41"/>
      <c r="C208" s="41" t="s">
        <v>337</v>
      </c>
      <c r="D208" s="42"/>
      <c r="E208" s="43"/>
      <c r="F208" s="43"/>
      <c r="G208" s="43"/>
      <c r="H208" s="45"/>
      <c r="I208" s="44"/>
      <c r="J208" s="45"/>
      <c r="K208" s="44"/>
      <c r="L208" s="45">
        <f>SUM(AR203:AR211)+SUM(AS203:AS211)+SUM(AT203:AT211)+SUM(AU203:AU211)+SUM(AV203:AV211)</f>
        <v>3484.11</v>
      </c>
    </row>
    <row r="209" spans="1:82" ht="14.25" x14ac:dyDescent="0.2">
      <c r="A209" s="41"/>
      <c r="B209" s="41" t="s">
        <v>110</v>
      </c>
      <c r="C209" s="41" t="s">
        <v>375</v>
      </c>
      <c r="D209" s="42" t="s">
        <v>271</v>
      </c>
      <c r="E209" s="43">
        <f>Source!BZ105</f>
        <v>74</v>
      </c>
      <c r="F209" s="43"/>
      <c r="G209" s="43">
        <f>Source!AT105</f>
        <v>74</v>
      </c>
      <c r="H209" s="45"/>
      <c r="I209" s="44"/>
      <c r="J209" s="45"/>
      <c r="K209" s="44"/>
      <c r="L209" s="45">
        <f>SUM(AZ203:AZ211)</f>
        <v>2578.2399999999998</v>
      </c>
    </row>
    <row r="210" spans="1:82" ht="14.25" x14ac:dyDescent="0.2">
      <c r="A210" s="50"/>
      <c r="B210" s="50" t="s">
        <v>111</v>
      </c>
      <c r="C210" s="50" t="s">
        <v>376</v>
      </c>
      <c r="D210" s="51" t="s">
        <v>271</v>
      </c>
      <c r="E210" s="52">
        <f>Source!CA105</f>
        <v>36</v>
      </c>
      <c r="F210" s="52"/>
      <c r="G210" s="52">
        <f>Source!AU105</f>
        <v>36</v>
      </c>
      <c r="H210" s="53"/>
      <c r="I210" s="54"/>
      <c r="J210" s="53"/>
      <c r="K210" s="54"/>
      <c r="L210" s="53">
        <f>SUM(BA203:BA211)</f>
        <v>1254.28</v>
      </c>
    </row>
    <row r="211" spans="1:82" ht="15" x14ac:dyDescent="0.2">
      <c r="C211" s="84" t="s">
        <v>340</v>
      </c>
      <c r="D211" s="84"/>
      <c r="E211" s="84"/>
      <c r="F211" s="84"/>
      <c r="G211" s="84"/>
      <c r="H211" s="84"/>
      <c r="I211" s="85">
        <f>IF(E203&lt;&gt;0,K211/E203, 0)</f>
        <v>2438.8766666666666</v>
      </c>
      <c r="J211" s="85"/>
      <c r="K211" s="85">
        <f>L204+L209+L210</f>
        <v>7316.63</v>
      </c>
      <c r="L211" s="85"/>
      <c r="AD211">
        <f>ROUND((Source!AT105/100)*((ROUND(SUMIF(SmtRes!AQ28:'SmtRes'!AQ29,"=1",SmtRes!AD28:'SmtRes'!AD29)*Source!I105, 2)+ROUND(SUMIF(SmtRes!AQ28:'SmtRes'!AQ29,"=1",SmtRes!AC28:'SmtRes'!AC29)*Source!I105, 2))), 2)</f>
        <v>3183.01</v>
      </c>
      <c r="AE211">
        <f>ROUND((Source!AU105/100)*((ROUND(SUMIF(SmtRes!AQ28:'SmtRes'!AQ29,"=1",SmtRes!AD28:'SmtRes'!AD29)*Source!I105, 2)+ROUND(SUMIF(SmtRes!AQ28:'SmtRes'!AQ29,"=1",SmtRes!AC28:'SmtRes'!AC29)*Source!I105, 2))), 2)</f>
        <v>1548.49</v>
      </c>
      <c r="AN211" s="55">
        <f>L204+L209+L210</f>
        <v>7316.63</v>
      </c>
      <c r="AO211">
        <f>0</f>
        <v>0</v>
      </c>
      <c r="AQ211" t="s">
        <v>341</v>
      </c>
      <c r="AR211" s="55">
        <f>L204</f>
        <v>3484.11</v>
      </c>
      <c r="AT211">
        <f>0</f>
        <v>0</v>
      </c>
      <c r="AV211" t="s">
        <v>341</v>
      </c>
      <c r="AW211">
        <f>0</f>
        <v>0</v>
      </c>
      <c r="AZ211">
        <f>Source!X105</f>
        <v>2578.2399999999998</v>
      </c>
      <c r="BA211">
        <f>Source!Y105</f>
        <v>1254.28</v>
      </c>
      <c r="BT211" s="55">
        <f>K211</f>
        <v>7316.63</v>
      </c>
      <c r="BW211">
        <f>ROUND(K211*80/100, 2)</f>
        <v>5853.3</v>
      </c>
      <c r="BX211" s="55">
        <f>K211-BW211</f>
        <v>1463.33</v>
      </c>
      <c r="CB211">
        <f>Source!BM105</f>
        <v>200001</v>
      </c>
      <c r="CC211" t="str">
        <f>Source!E105</f>
        <v>7</v>
      </c>
      <c r="CD211">
        <v>4</v>
      </c>
    </row>
    <row r="212" spans="1:82" ht="93.75" x14ac:dyDescent="0.2">
      <c r="A212" s="39" t="s">
        <v>121</v>
      </c>
      <c r="B212" s="41" t="s">
        <v>379</v>
      </c>
      <c r="C212" s="41" t="s">
        <v>380</v>
      </c>
      <c r="D212" s="42" t="str">
        <f>Source!H106</f>
        <v>кабель</v>
      </c>
      <c r="E212" s="43">
        <f>Source!K106</f>
        <v>1</v>
      </c>
      <c r="F212" s="43"/>
      <c r="G212" s="43">
        <f>Source!I106</f>
        <v>1</v>
      </c>
      <c r="H212" s="45"/>
      <c r="I212" s="44"/>
      <c r="J212" s="45"/>
      <c r="K212" s="44"/>
      <c r="L212" s="45"/>
    </row>
    <row r="213" spans="1:82" ht="15" x14ac:dyDescent="0.2">
      <c r="A213" s="40"/>
      <c r="B213" s="43">
        <v>1</v>
      </c>
      <c r="C213" s="40" t="s">
        <v>330</v>
      </c>
      <c r="D213" s="42" t="s">
        <v>213</v>
      </c>
      <c r="E213" s="48"/>
      <c r="F213" s="43"/>
      <c r="G213" s="43">
        <f>Source!U106</f>
        <v>26.338000000000001</v>
      </c>
      <c r="H213" s="43"/>
      <c r="I213" s="43"/>
      <c r="J213" s="43"/>
      <c r="K213" s="43"/>
      <c r="L213" s="49">
        <f>SUM(L214:L215)-SUMIF(CE214:CE215, 1, L214:L215)</f>
        <v>18881.580000000002</v>
      </c>
    </row>
    <row r="214" spans="1:82" ht="14.25" x14ac:dyDescent="0.2">
      <c r="A214" s="41"/>
      <c r="B214" s="41" t="s">
        <v>262</v>
      </c>
      <c r="C214" s="41" t="s">
        <v>263</v>
      </c>
      <c r="D214" s="42" t="s">
        <v>264</v>
      </c>
      <c r="E214" s="43">
        <v>10.130000000000001</v>
      </c>
      <c r="F214" s="43">
        <f>ROUND(1.3,7)</f>
        <v>1.3</v>
      </c>
      <c r="G214" s="43">
        <f>SmtRes!CX30</f>
        <v>13.169</v>
      </c>
      <c r="H214" s="45"/>
      <c r="I214" s="44"/>
      <c r="J214" s="45">
        <f>SmtRes!CZ30</f>
        <v>724.95</v>
      </c>
      <c r="K214" s="44"/>
      <c r="L214" s="45">
        <f>SmtRes!DI30</f>
        <v>9546.8700000000008</v>
      </c>
    </row>
    <row r="215" spans="1:82" ht="14.25" x14ac:dyDescent="0.2">
      <c r="A215" s="41"/>
      <c r="B215" s="41" t="s">
        <v>265</v>
      </c>
      <c r="C215" s="50" t="s">
        <v>266</v>
      </c>
      <c r="D215" s="51" t="s">
        <v>264</v>
      </c>
      <c r="E215" s="52">
        <v>10.130000000000001</v>
      </c>
      <c r="F215" s="52">
        <f>ROUND(1.3,7)</f>
        <v>1.3</v>
      </c>
      <c r="G215" s="52">
        <f>SmtRes!CX31</f>
        <v>13.169</v>
      </c>
      <c r="H215" s="53"/>
      <c r="I215" s="54"/>
      <c r="J215" s="53">
        <f>SmtRes!CZ31</f>
        <v>708.84</v>
      </c>
      <c r="K215" s="54"/>
      <c r="L215" s="53">
        <f>SmtRes!DI31</f>
        <v>9334.7099999999991</v>
      </c>
    </row>
    <row r="216" spans="1:82" ht="15" x14ac:dyDescent="0.2">
      <c r="A216" s="41"/>
      <c r="B216" s="41"/>
      <c r="C216" s="56" t="s">
        <v>336</v>
      </c>
      <c r="D216" s="42"/>
      <c r="E216" s="43"/>
      <c r="F216" s="43"/>
      <c r="G216" s="43"/>
      <c r="H216" s="45"/>
      <c r="I216" s="44"/>
      <c r="J216" s="45"/>
      <c r="K216" s="44"/>
      <c r="L216" s="45">
        <f>L213</f>
        <v>18881.580000000002</v>
      </c>
    </row>
    <row r="217" spans="1:82" ht="14.25" x14ac:dyDescent="0.2">
      <c r="A217" s="41"/>
      <c r="B217" s="41"/>
      <c r="C217" s="41" t="s">
        <v>337</v>
      </c>
      <c r="D217" s="42"/>
      <c r="E217" s="43"/>
      <c r="F217" s="43"/>
      <c r="G217" s="43"/>
      <c r="H217" s="45"/>
      <c r="I217" s="44"/>
      <c r="J217" s="45"/>
      <c r="K217" s="44"/>
      <c r="L217" s="45">
        <f>SUM(AR212:AR220)+SUM(AS212:AS220)+SUM(AT212:AT220)+SUM(AU212:AU220)+SUM(AV212:AV220)</f>
        <v>18881.580000000002</v>
      </c>
    </row>
    <row r="218" spans="1:82" ht="14.25" x14ac:dyDescent="0.2">
      <c r="A218" s="41"/>
      <c r="B218" s="41" t="s">
        <v>110</v>
      </c>
      <c r="C218" s="41" t="s">
        <v>375</v>
      </c>
      <c r="D218" s="42" t="s">
        <v>271</v>
      </c>
      <c r="E218" s="43">
        <f>Source!BZ106</f>
        <v>74</v>
      </c>
      <c r="F218" s="43"/>
      <c r="G218" s="43">
        <f>Source!AT106</f>
        <v>74</v>
      </c>
      <c r="H218" s="45"/>
      <c r="I218" s="44"/>
      <c r="J218" s="45"/>
      <c r="K218" s="44"/>
      <c r="L218" s="45">
        <f>SUM(AZ212:AZ220)</f>
        <v>13972.37</v>
      </c>
    </row>
    <row r="219" spans="1:82" ht="14.25" x14ac:dyDescent="0.2">
      <c r="A219" s="50"/>
      <c r="B219" s="50" t="s">
        <v>111</v>
      </c>
      <c r="C219" s="50" t="s">
        <v>376</v>
      </c>
      <c r="D219" s="51" t="s">
        <v>271</v>
      </c>
      <c r="E219" s="52">
        <f>Source!CA106</f>
        <v>36</v>
      </c>
      <c r="F219" s="52"/>
      <c r="G219" s="52">
        <f>Source!AU106</f>
        <v>36</v>
      </c>
      <c r="H219" s="53"/>
      <c r="I219" s="54"/>
      <c r="J219" s="53"/>
      <c r="K219" s="54"/>
      <c r="L219" s="53">
        <f>SUM(BA212:BA220)</f>
        <v>6797.37</v>
      </c>
    </row>
    <row r="220" spans="1:82" ht="15" x14ac:dyDescent="0.2">
      <c r="C220" s="84" t="s">
        <v>340</v>
      </c>
      <c r="D220" s="84"/>
      <c r="E220" s="84"/>
      <c r="F220" s="84"/>
      <c r="G220" s="84"/>
      <c r="H220" s="84"/>
      <c r="I220" s="85">
        <f>IF(E212&lt;&gt;0,K220/E212, 0)</f>
        <v>39651.320000000007</v>
      </c>
      <c r="J220" s="85"/>
      <c r="K220" s="85">
        <f>L213+L218+L219</f>
        <v>39651.320000000007</v>
      </c>
      <c r="L220" s="85"/>
      <c r="AD220">
        <f>ROUND((Source!AT106/100)*((ROUND(SUMIF(SmtRes!AQ30:'SmtRes'!AQ31,"=1",SmtRes!AD30:'SmtRes'!AD31)*Source!I106, 2)+ROUND(SUMIF(SmtRes!AQ30:'SmtRes'!AQ31,"=1",SmtRes!AC30:'SmtRes'!AC31)*Source!I106, 2))), 2)</f>
        <v>1061</v>
      </c>
      <c r="AE220">
        <f>ROUND((Source!AU106/100)*((ROUND(SUMIF(SmtRes!AQ30:'SmtRes'!AQ31,"=1",SmtRes!AD30:'SmtRes'!AD31)*Source!I106, 2)+ROUND(SUMIF(SmtRes!AQ30:'SmtRes'!AQ31,"=1",SmtRes!AC30:'SmtRes'!AC31)*Source!I106, 2))), 2)</f>
        <v>516.16</v>
      </c>
      <c r="AN220" s="55">
        <f>L213+L218+L219</f>
        <v>39651.320000000007</v>
      </c>
      <c r="AO220">
        <f>0</f>
        <v>0</v>
      </c>
      <c r="AQ220" t="s">
        <v>341</v>
      </c>
      <c r="AR220" s="55">
        <f>L213</f>
        <v>18881.580000000002</v>
      </c>
      <c r="AT220">
        <f>0</f>
        <v>0</v>
      </c>
      <c r="AV220" t="s">
        <v>341</v>
      </c>
      <c r="AW220">
        <f>0</f>
        <v>0</v>
      </c>
      <c r="AZ220">
        <f>Source!X106</f>
        <v>13972.37</v>
      </c>
      <c r="BA220">
        <f>Source!Y106</f>
        <v>6797.37</v>
      </c>
      <c r="BT220" s="55">
        <f>K220</f>
        <v>39651.320000000007</v>
      </c>
      <c r="BW220">
        <f>ROUND(K220*80/100, 2)</f>
        <v>31721.06</v>
      </c>
      <c r="BX220" s="55">
        <f>K220-BW220</f>
        <v>7930.2600000000057</v>
      </c>
      <c r="CB220">
        <f>Source!BM106</f>
        <v>200001</v>
      </c>
      <c r="CC220" t="str">
        <f>Source!E106</f>
        <v>8</v>
      </c>
      <c r="CD220">
        <v>4</v>
      </c>
    </row>
    <row r="222" spans="1:82" ht="15" x14ac:dyDescent="0.2">
      <c r="A222" s="59"/>
      <c r="B222" s="60"/>
      <c r="C222" s="80" t="s">
        <v>342</v>
      </c>
      <c r="D222" s="80"/>
      <c r="E222" s="80"/>
      <c r="F222" s="80"/>
      <c r="G222" s="80"/>
      <c r="H222" s="80"/>
      <c r="I222" s="49"/>
      <c r="J222" s="59"/>
      <c r="K222" s="61"/>
      <c r="L222" s="49">
        <f>L224+L225+L231+L235</f>
        <v>25575.410000000003</v>
      </c>
    </row>
    <row r="223" spans="1:82" ht="14.25" x14ac:dyDescent="0.2">
      <c r="A223" s="57"/>
      <c r="B223" s="58"/>
      <c r="C223" s="81" t="s">
        <v>343</v>
      </c>
      <c r="D223" s="79"/>
      <c r="E223" s="79"/>
      <c r="F223" s="79"/>
      <c r="G223" s="79"/>
      <c r="H223" s="79"/>
      <c r="I223" s="45"/>
      <c r="J223" s="57"/>
      <c r="K223" s="43"/>
      <c r="L223" s="45"/>
    </row>
    <row r="224" spans="1:82" ht="14.25" x14ac:dyDescent="0.2">
      <c r="A224" s="57"/>
      <c r="B224" s="58"/>
      <c r="C224" s="79" t="s">
        <v>344</v>
      </c>
      <c r="D224" s="79"/>
      <c r="E224" s="79"/>
      <c r="F224" s="79"/>
      <c r="G224" s="79"/>
      <c r="H224" s="79"/>
      <c r="I224" s="45"/>
      <c r="J224" s="57"/>
      <c r="K224" s="43"/>
      <c r="L224" s="45">
        <f>SUM(AR183:AR220)</f>
        <v>25575.410000000003</v>
      </c>
    </row>
    <row r="225" spans="1:12" ht="14.25" hidden="1" x14ac:dyDescent="0.2">
      <c r="A225" s="57"/>
      <c r="B225" s="58"/>
      <c r="C225" s="79" t="s">
        <v>345</v>
      </c>
      <c r="D225" s="79"/>
      <c r="E225" s="79"/>
      <c r="F225" s="79"/>
      <c r="G225" s="79"/>
      <c r="H225" s="79"/>
      <c r="I225" s="45"/>
      <c r="J225" s="57"/>
      <c r="K225" s="43"/>
      <c r="L225" s="45">
        <f>L227+L230+L229</f>
        <v>0</v>
      </c>
    </row>
    <row r="226" spans="1:12" ht="14.25" hidden="1" x14ac:dyDescent="0.2">
      <c r="A226" s="57"/>
      <c r="B226" s="58"/>
      <c r="C226" s="81" t="s">
        <v>346</v>
      </c>
      <c r="D226" s="79"/>
      <c r="E226" s="79"/>
      <c r="F226" s="79"/>
      <c r="G226" s="79"/>
      <c r="H226" s="79"/>
      <c r="I226" s="45"/>
      <c r="J226" s="57"/>
      <c r="K226" s="43"/>
      <c r="L226" s="45"/>
    </row>
    <row r="227" spans="1:12" ht="14.25" hidden="1" x14ac:dyDescent="0.2">
      <c r="A227" s="57"/>
      <c r="B227" s="58"/>
      <c r="C227" s="79" t="s">
        <v>345</v>
      </c>
      <c r="D227" s="79"/>
      <c r="E227" s="79"/>
      <c r="F227" s="79"/>
      <c r="G227" s="79"/>
      <c r="H227" s="79"/>
      <c r="I227" s="45"/>
      <c r="J227" s="57"/>
      <c r="K227" s="43"/>
      <c r="L227" s="45">
        <f>SUM(AO183:AO220)</f>
        <v>0</v>
      </c>
    </row>
    <row r="228" spans="1:12" ht="14.25" hidden="1" x14ac:dyDescent="0.2">
      <c r="A228" s="57"/>
      <c r="B228" s="58"/>
      <c r="C228" s="81" t="s">
        <v>347</v>
      </c>
      <c r="D228" s="79"/>
      <c r="E228" s="79"/>
      <c r="F228" s="79"/>
      <c r="G228" s="79"/>
      <c r="H228" s="79"/>
      <c r="I228" s="45"/>
      <c r="J228" s="57"/>
      <c r="K228" s="43"/>
      <c r="L228" s="45"/>
    </row>
    <row r="229" spans="1:12" ht="14.25" hidden="1" x14ac:dyDescent="0.2">
      <c r="A229" s="57"/>
      <c r="B229" s="58"/>
      <c r="C229" s="79" t="s">
        <v>367</v>
      </c>
      <c r="D229" s="79"/>
      <c r="E229" s="79"/>
      <c r="F229" s="79"/>
      <c r="G229" s="79"/>
      <c r="H229" s="79"/>
      <c r="I229" s="45"/>
      <c r="J229" s="57"/>
      <c r="K229" s="43"/>
      <c r="L229" s="45">
        <f>SUM(AT183:AT220)</f>
        <v>0</v>
      </c>
    </row>
    <row r="230" spans="1:12" ht="14.25" hidden="1" x14ac:dyDescent="0.2">
      <c r="A230" s="57"/>
      <c r="B230" s="58"/>
      <c r="C230" s="79" t="s">
        <v>348</v>
      </c>
      <c r="D230" s="79"/>
      <c r="E230" s="79"/>
      <c r="F230" s="79"/>
      <c r="G230" s="79"/>
      <c r="H230" s="79"/>
      <c r="I230" s="45"/>
      <c r="J230" s="57"/>
      <c r="K230" s="43"/>
      <c r="L230" s="45">
        <f>SUM(AV183:AV220)</f>
        <v>0</v>
      </c>
    </row>
    <row r="231" spans="1:12" ht="14.25" hidden="1" x14ac:dyDescent="0.2">
      <c r="A231" s="57"/>
      <c r="B231" s="58"/>
      <c r="C231" s="79" t="s">
        <v>349</v>
      </c>
      <c r="D231" s="79"/>
      <c r="E231" s="79"/>
      <c r="F231" s="79"/>
      <c r="G231" s="79"/>
      <c r="H231" s="79"/>
      <c r="I231" s="45"/>
      <c r="J231" s="57"/>
      <c r="K231" s="43"/>
      <c r="L231" s="45">
        <f>L233+L234</f>
        <v>0</v>
      </c>
    </row>
    <row r="232" spans="1:12" ht="14.25" hidden="1" x14ac:dyDescent="0.2">
      <c r="A232" s="57"/>
      <c r="B232" s="58"/>
      <c r="C232" s="81" t="s">
        <v>346</v>
      </c>
      <c r="D232" s="79"/>
      <c r="E232" s="79"/>
      <c r="F232" s="79"/>
      <c r="G232" s="79"/>
      <c r="H232" s="79"/>
      <c r="I232" s="45"/>
      <c r="J232" s="57"/>
      <c r="K232" s="43"/>
      <c r="L232" s="45"/>
    </row>
    <row r="233" spans="1:12" ht="14.25" hidden="1" x14ac:dyDescent="0.2">
      <c r="A233" s="57"/>
      <c r="B233" s="58"/>
      <c r="C233" s="79" t="s">
        <v>350</v>
      </c>
      <c r="D233" s="79"/>
      <c r="E233" s="79"/>
      <c r="F233" s="79"/>
      <c r="G233" s="79"/>
      <c r="H233" s="79"/>
      <c r="I233" s="45"/>
      <c r="J233" s="57"/>
      <c r="K233" s="43"/>
      <c r="L233" s="45">
        <f>SUM(AW183:AW220)-SUM(BK183:BK220)</f>
        <v>0</v>
      </c>
    </row>
    <row r="234" spans="1:12" ht="14.25" hidden="1" x14ac:dyDescent="0.2">
      <c r="A234" s="57"/>
      <c r="B234" s="58"/>
      <c r="C234" s="79" t="s">
        <v>351</v>
      </c>
      <c r="D234" s="79"/>
      <c r="E234" s="79"/>
      <c r="F234" s="79"/>
      <c r="G234" s="79"/>
      <c r="H234" s="79"/>
      <c r="I234" s="45"/>
      <c r="J234" s="57"/>
      <c r="K234" s="43"/>
      <c r="L234" s="45">
        <f>SUM(BC183:BC220)</f>
        <v>0</v>
      </c>
    </row>
    <row r="235" spans="1:12" ht="14.25" hidden="1" x14ac:dyDescent="0.2">
      <c r="A235" s="57"/>
      <c r="B235" s="58"/>
      <c r="C235" s="79" t="s">
        <v>352</v>
      </c>
      <c r="D235" s="79"/>
      <c r="E235" s="79"/>
      <c r="F235" s="79"/>
      <c r="G235" s="79"/>
      <c r="H235" s="79"/>
      <c r="I235" s="45"/>
      <c r="J235" s="57"/>
      <c r="K235" s="43"/>
      <c r="L235" s="45">
        <f>SUM(BB183:BB220)</f>
        <v>0</v>
      </c>
    </row>
    <row r="236" spans="1:12" ht="14.25" x14ac:dyDescent="0.2">
      <c r="A236" s="57"/>
      <c r="B236" s="58"/>
      <c r="C236" s="79" t="s">
        <v>353</v>
      </c>
      <c r="D236" s="79"/>
      <c r="E236" s="79"/>
      <c r="F236" s="79"/>
      <c r="G236" s="79"/>
      <c r="H236" s="79"/>
      <c r="I236" s="45"/>
      <c r="J236" s="57"/>
      <c r="K236" s="43"/>
      <c r="L236" s="45">
        <f>SUM(AR183:AR220)+SUM(AT183:AT220)+SUM(AV183:AV220)</f>
        <v>25575.410000000003</v>
      </c>
    </row>
    <row r="237" spans="1:12" ht="14.25" x14ac:dyDescent="0.2">
      <c r="A237" s="57"/>
      <c r="B237" s="58"/>
      <c r="C237" s="79" t="s">
        <v>354</v>
      </c>
      <c r="D237" s="79"/>
      <c r="E237" s="79"/>
      <c r="F237" s="79"/>
      <c r="G237" s="79"/>
      <c r="H237" s="79"/>
      <c r="I237" s="45"/>
      <c r="J237" s="57"/>
      <c r="K237" s="43"/>
      <c r="L237" s="45">
        <f>SUM(AZ183:AZ220)</f>
        <v>18925.800000000003</v>
      </c>
    </row>
    <row r="238" spans="1:12" ht="14.25" x14ac:dyDescent="0.2">
      <c r="A238" s="57"/>
      <c r="B238" s="58"/>
      <c r="C238" s="79" t="s">
        <v>355</v>
      </c>
      <c r="D238" s="79"/>
      <c r="E238" s="79"/>
      <c r="F238" s="79"/>
      <c r="G238" s="79"/>
      <c r="H238" s="79"/>
      <c r="I238" s="45"/>
      <c r="J238" s="57"/>
      <c r="K238" s="43"/>
      <c r="L238" s="45">
        <f>SUM(BA183:BA220)</f>
        <v>9207.15</v>
      </c>
    </row>
    <row r="239" spans="1:12" ht="14.25" hidden="1" x14ac:dyDescent="0.2">
      <c r="A239" s="57"/>
      <c r="B239" s="58"/>
      <c r="C239" s="79" t="s">
        <v>356</v>
      </c>
      <c r="D239" s="79"/>
      <c r="E239" s="79"/>
      <c r="F239" s="79"/>
      <c r="G239" s="79"/>
      <c r="H239" s="79"/>
      <c r="I239" s="45"/>
      <c r="J239" s="57"/>
      <c r="K239" s="43"/>
      <c r="L239" s="45">
        <f>L241+L242</f>
        <v>0</v>
      </c>
    </row>
    <row r="240" spans="1:12" ht="14.25" hidden="1" x14ac:dyDescent="0.2">
      <c r="A240" s="57"/>
      <c r="B240" s="58"/>
      <c r="C240" s="81" t="s">
        <v>343</v>
      </c>
      <c r="D240" s="79"/>
      <c r="E240" s="79"/>
      <c r="F240" s="79"/>
      <c r="G240" s="79"/>
      <c r="H240" s="79"/>
      <c r="I240" s="45"/>
      <c r="J240" s="57"/>
      <c r="K240" s="43"/>
      <c r="L240" s="45"/>
    </row>
    <row r="241" spans="1:12" ht="14.25" hidden="1" x14ac:dyDescent="0.2">
      <c r="A241" s="57"/>
      <c r="B241" s="58"/>
      <c r="C241" s="79" t="s">
        <v>357</v>
      </c>
      <c r="D241" s="79"/>
      <c r="E241" s="79"/>
      <c r="F241" s="79"/>
      <c r="G241" s="79"/>
      <c r="H241" s="79"/>
      <c r="I241" s="45"/>
      <c r="J241" s="57"/>
      <c r="K241" s="43"/>
      <c r="L241" s="45">
        <f>SUM(BK183:BK220)</f>
        <v>0</v>
      </c>
    </row>
    <row r="242" spans="1:12" ht="14.25" hidden="1" x14ac:dyDescent="0.2">
      <c r="A242" s="57"/>
      <c r="B242" s="58"/>
      <c r="C242" s="79" t="s">
        <v>358</v>
      </c>
      <c r="D242" s="79"/>
      <c r="E242" s="79"/>
      <c r="F242" s="79"/>
      <c r="G242" s="79"/>
      <c r="H242" s="79"/>
      <c r="I242" s="45"/>
      <c r="J242" s="57"/>
      <c r="K242" s="43"/>
      <c r="L242" s="45">
        <f>SUM(BD183:BD220)</f>
        <v>0</v>
      </c>
    </row>
    <row r="243" spans="1:12" ht="14.25" hidden="1" x14ac:dyDescent="0.2">
      <c r="A243" s="57"/>
      <c r="B243" s="58"/>
      <c r="C243" s="79" t="s">
        <v>359</v>
      </c>
      <c r="D243" s="79"/>
      <c r="E243" s="79"/>
      <c r="F243" s="79"/>
      <c r="G243" s="79"/>
      <c r="H243" s="79"/>
      <c r="I243" s="45"/>
      <c r="J243" s="57"/>
      <c r="K243" s="43"/>
      <c r="L243" s="45"/>
    </row>
    <row r="244" spans="1:12" ht="14.25" hidden="1" x14ac:dyDescent="0.2">
      <c r="A244" s="57"/>
      <c r="B244" s="58"/>
      <c r="C244" s="79" t="s">
        <v>359</v>
      </c>
      <c r="D244" s="79"/>
      <c r="E244" s="79"/>
      <c r="F244" s="79"/>
      <c r="G244" s="79"/>
      <c r="H244" s="79"/>
      <c r="I244" s="45"/>
      <c r="J244" s="57"/>
      <c r="K244" s="43"/>
      <c r="L244" s="45">
        <f>SUM(BQ183:BQ220)</f>
        <v>0</v>
      </c>
    </row>
    <row r="245" spans="1:12" ht="14.25" hidden="1" x14ac:dyDescent="0.2">
      <c r="A245" s="57"/>
      <c r="B245" s="58"/>
      <c r="C245" s="79" t="s">
        <v>360</v>
      </c>
      <c r="D245" s="79"/>
      <c r="E245" s="79"/>
      <c r="F245" s="79"/>
      <c r="G245" s="79"/>
      <c r="H245" s="79"/>
      <c r="I245" s="45"/>
      <c r="J245" s="57"/>
      <c r="K245" s="43"/>
      <c r="L245" s="45">
        <f>SUM(BO183:BO220)</f>
        <v>0</v>
      </c>
    </row>
    <row r="246" spans="1:12" ht="15" x14ac:dyDescent="0.2">
      <c r="A246" s="59"/>
      <c r="B246" s="60"/>
      <c r="C246" s="80" t="s">
        <v>361</v>
      </c>
      <c r="D246" s="80"/>
      <c r="E246" s="80"/>
      <c r="F246" s="80"/>
      <c r="G246" s="80"/>
      <c r="H246" s="80"/>
      <c r="I246" s="49"/>
      <c r="J246" s="59"/>
      <c r="K246" s="61"/>
      <c r="L246" s="49">
        <f>L222+L237+L238+L239+L244+L245</f>
        <v>53708.360000000008</v>
      </c>
    </row>
    <row r="247" spans="1:12" ht="14.25" x14ac:dyDescent="0.2">
      <c r="A247" s="57"/>
      <c r="B247" s="58"/>
      <c r="C247" s="81" t="s">
        <v>362</v>
      </c>
      <c r="D247" s="79"/>
      <c r="E247" s="79"/>
      <c r="F247" s="79"/>
      <c r="G247" s="79"/>
      <c r="H247" s="79"/>
      <c r="I247" s="45"/>
      <c r="J247" s="57"/>
      <c r="K247" s="43"/>
      <c r="L247" s="45"/>
    </row>
    <row r="248" spans="1:12" ht="14.25" hidden="1" x14ac:dyDescent="0.2">
      <c r="A248" s="57"/>
      <c r="B248" s="58"/>
      <c r="C248" s="79" t="s">
        <v>363</v>
      </c>
      <c r="D248" s="79"/>
      <c r="E248" s="79"/>
      <c r="F248" s="79"/>
      <c r="G248" s="79"/>
      <c r="H248" s="79"/>
      <c r="I248" s="45"/>
      <c r="J248" s="57"/>
      <c r="K248" s="43"/>
      <c r="L248" s="45">
        <f>SUM(AX183:AX220)</f>
        <v>0</v>
      </c>
    </row>
    <row r="249" spans="1:12" ht="14.25" hidden="1" x14ac:dyDescent="0.2">
      <c r="A249" s="57"/>
      <c r="B249" s="58"/>
      <c r="C249" s="79" t="s">
        <v>364</v>
      </c>
      <c r="D249" s="79"/>
      <c r="E249" s="79"/>
      <c r="F249" s="79"/>
      <c r="G249" s="79"/>
      <c r="H249" s="79"/>
      <c r="I249" s="45"/>
      <c r="J249" s="57"/>
      <c r="K249" s="43"/>
      <c r="L249" s="45">
        <f>SUM(AY183:AY220)</f>
        <v>0</v>
      </c>
    </row>
    <row r="250" spans="1:12" ht="14.25" x14ac:dyDescent="0.2">
      <c r="A250" s="57"/>
      <c r="B250" s="58"/>
      <c r="C250" s="79" t="s">
        <v>365</v>
      </c>
      <c r="D250" s="79"/>
      <c r="E250" s="79"/>
      <c r="F250" s="82"/>
      <c r="G250" s="48">
        <f>Source!F130</f>
        <v>36.187600000000003</v>
      </c>
      <c r="H250" s="57"/>
      <c r="I250" s="57"/>
      <c r="J250" s="57"/>
      <c r="K250" s="57"/>
      <c r="L250" s="57"/>
    </row>
    <row r="251" spans="1:12" ht="14.25" hidden="1" customHeight="1" x14ac:dyDescent="0.2">
      <c r="A251" s="57"/>
      <c r="B251" s="58"/>
      <c r="C251" s="79" t="s">
        <v>366</v>
      </c>
      <c r="D251" s="79"/>
      <c r="E251" s="79"/>
      <c r="F251" s="82"/>
      <c r="G251" s="48">
        <f>Source!F131</f>
        <v>0</v>
      </c>
      <c r="H251" s="57"/>
      <c r="I251" s="57"/>
      <c r="J251" s="57"/>
      <c r="K251" s="57"/>
      <c r="L251" s="57"/>
    </row>
    <row r="254" spans="1:12" ht="15" x14ac:dyDescent="0.2">
      <c r="A254" s="62"/>
      <c r="B254" s="63"/>
      <c r="C254" s="83" t="s">
        <v>381</v>
      </c>
      <c r="D254" s="83"/>
      <c r="E254" s="83"/>
      <c r="F254" s="83"/>
      <c r="G254" s="83"/>
      <c r="H254" s="83"/>
      <c r="I254" s="64"/>
      <c r="J254" s="62"/>
      <c r="K254" s="65"/>
      <c r="L254" s="64"/>
    </row>
    <row r="256" spans="1:12" ht="15" hidden="1" x14ac:dyDescent="0.2">
      <c r="A256" s="59"/>
      <c r="B256" s="60"/>
      <c r="C256" s="80" t="s">
        <v>382</v>
      </c>
      <c r="D256" s="80"/>
      <c r="E256" s="80"/>
      <c r="F256" s="80"/>
      <c r="G256" s="80"/>
      <c r="H256" s="80"/>
      <c r="I256" s="49"/>
      <c r="J256" s="59"/>
      <c r="K256" s="61"/>
      <c r="L256" s="49">
        <f>L258+L273+L274</f>
        <v>0</v>
      </c>
    </row>
    <row r="257" spans="1:12" ht="14.25" hidden="1" x14ac:dyDescent="0.2">
      <c r="A257" s="57"/>
      <c r="B257" s="58"/>
      <c r="C257" s="81" t="s">
        <v>343</v>
      </c>
      <c r="D257" s="79"/>
      <c r="E257" s="79"/>
      <c r="F257" s="79"/>
      <c r="G257" s="79"/>
      <c r="H257" s="79"/>
      <c r="I257" s="45"/>
      <c r="J257" s="57"/>
      <c r="K257" s="43"/>
      <c r="L257" s="45"/>
    </row>
    <row r="258" spans="1:12" ht="14.25" hidden="1" x14ac:dyDescent="0.2">
      <c r="A258" s="57"/>
      <c r="B258" s="58"/>
      <c r="C258" s="79" t="s">
        <v>383</v>
      </c>
      <c r="D258" s="79"/>
      <c r="E258" s="79"/>
      <c r="F258" s="79"/>
      <c r="G258" s="79"/>
      <c r="H258" s="79"/>
      <c r="I258" s="45"/>
      <c r="J258" s="57"/>
      <c r="K258" s="43"/>
      <c r="L258" s="45">
        <f>L260+L261+L267+L271</f>
        <v>0</v>
      </c>
    </row>
    <row r="259" spans="1:12" ht="14.25" hidden="1" x14ac:dyDescent="0.2">
      <c r="A259" s="57"/>
      <c r="B259" s="58"/>
      <c r="C259" s="81" t="s">
        <v>343</v>
      </c>
      <c r="D259" s="79"/>
      <c r="E259" s="79"/>
      <c r="F259" s="79"/>
      <c r="G259" s="79"/>
      <c r="H259" s="79"/>
      <c r="I259" s="45"/>
      <c r="J259" s="57"/>
      <c r="K259" s="43"/>
      <c r="L259" s="45"/>
    </row>
    <row r="260" spans="1:12" ht="14.25" hidden="1" x14ac:dyDescent="0.2">
      <c r="A260" s="57"/>
      <c r="B260" s="58"/>
      <c r="C260" s="79" t="s">
        <v>384</v>
      </c>
      <c r="D260" s="79"/>
      <c r="E260" s="79"/>
      <c r="F260" s="79"/>
      <c r="G260" s="79"/>
      <c r="H260" s="79"/>
      <c r="I260" s="45"/>
      <c r="J260" s="57"/>
      <c r="K260" s="43"/>
      <c r="L260" s="45">
        <f>SUMIF(CD52:CD252, 1, AR52:AR252)</f>
        <v>0</v>
      </c>
    </row>
    <row r="261" spans="1:12" ht="14.25" hidden="1" x14ac:dyDescent="0.2">
      <c r="A261" s="57"/>
      <c r="B261" s="58"/>
      <c r="C261" s="79" t="s">
        <v>345</v>
      </c>
      <c r="D261" s="79"/>
      <c r="E261" s="79"/>
      <c r="F261" s="79"/>
      <c r="G261" s="79"/>
      <c r="H261" s="79"/>
      <c r="I261" s="45"/>
      <c r="J261" s="57"/>
      <c r="K261" s="43"/>
      <c r="L261" s="45">
        <f>L263+L266+L265</f>
        <v>0</v>
      </c>
    </row>
    <row r="262" spans="1:12" ht="14.25" hidden="1" x14ac:dyDescent="0.2">
      <c r="A262" s="57"/>
      <c r="B262" s="58"/>
      <c r="C262" s="81" t="s">
        <v>346</v>
      </c>
      <c r="D262" s="79"/>
      <c r="E262" s="79"/>
      <c r="F262" s="79"/>
      <c r="G262" s="79"/>
      <c r="H262" s="79"/>
      <c r="I262" s="45"/>
      <c r="J262" s="57"/>
      <c r="K262" s="43"/>
      <c r="L262" s="45"/>
    </row>
    <row r="263" spans="1:12" ht="14.25" hidden="1" x14ac:dyDescent="0.2">
      <c r="A263" s="57"/>
      <c r="B263" s="58"/>
      <c r="C263" s="79" t="s">
        <v>345</v>
      </c>
      <c r="D263" s="79"/>
      <c r="E263" s="79"/>
      <c r="F263" s="79"/>
      <c r="G263" s="79"/>
      <c r="H263" s="79"/>
      <c r="I263" s="45"/>
      <c r="J263" s="57"/>
      <c r="K263" s="43"/>
      <c r="L263" s="45">
        <f>SUMIF(CD52:CD252, 1, AO52:AO252)</f>
        <v>0</v>
      </c>
    </row>
    <row r="264" spans="1:12" ht="14.25" hidden="1" x14ac:dyDescent="0.2">
      <c r="A264" s="57"/>
      <c r="B264" s="58"/>
      <c r="C264" s="81" t="s">
        <v>347</v>
      </c>
      <c r="D264" s="79"/>
      <c r="E264" s="79"/>
      <c r="F264" s="79"/>
      <c r="G264" s="79"/>
      <c r="H264" s="79"/>
      <c r="I264" s="45"/>
      <c r="J264" s="57"/>
      <c r="K264" s="43"/>
      <c r="L264" s="45"/>
    </row>
    <row r="265" spans="1:12" ht="14.25" hidden="1" x14ac:dyDescent="0.2">
      <c r="A265" s="57"/>
      <c r="B265" s="58"/>
      <c r="C265" s="79" t="s">
        <v>367</v>
      </c>
      <c r="D265" s="79"/>
      <c r="E265" s="79"/>
      <c r="F265" s="79"/>
      <c r="G265" s="79"/>
      <c r="H265" s="79"/>
      <c r="I265" s="45"/>
      <c r="J265" s="57"/>
      <c r="K265" s="43"/>
      <c r="L265" s="45">
        <f>SUMIF(CD52:CD252, 1, AT52:AT252)</f>
        <v>0</v>
      </c>
    </row>
    <row r="266" spans="1:12" ht="14.25" hidden="1" x14ac:dyDescent="0.2">
      <c r="A266" s="57"/>
      <c r="B266" s="58"/>
      <c r="C266" s="79" t="s">
        <v>348</v>
      </c>
      <c r="D266" s="79"/>
      <c r="E266" s="79"/>
      <c r="F266" s="79"/>
      <c r="G266" s="79"/>
      <c r="H266" s="79"/>
      <c r="I266" s="45"/>
      <c r="J266" s="57"/>
      <c r="K266" s="43"/>
      <c r="L266" s="45">
        <f>SUMIF(CD52:CD252, 1, AV52:AV252)</f>
        <v>0</v>
      </c>
    </row>
    <row r="267" spans="1:12" ht="14.25" hidden="1" x14ac:dyDescent="0.2">
      <c r="A267" s="57"/>
      <c r="B267" s="58"/>
      <c r="C267" s="79" t="s">
        <v>349</v>
      </c>
      <c r="D267" s="79"/>
      <c r="E267" s="79"/>
      <c r="F267" s="79"/>
      <c r="G267" s="79"/>
      <c r="H267" s="79"/>
      <c r="I267" s="45"/>
      <c r="J267" s="57"/>
      <c r="K267" s="43"/>
      <c r="L267" s="45">
        <f>L269+L270</f>
        <v>0</v>
      </c>
    </row>
    <row r="268" spans="1:12" ht="14.25" hidden="1" x14ac:dyDescent="0.2">
      <c r="A268" s="57"/>
      <c r="B268" s="58"/>
      <c r="C268" s="81" t="s">
        <v>346</v>
      </c>
      <c r="D268" s="79"/>
      <c r="E268" s="79"/>
      <c r="F268" s="79"/>
      <c r="G268" s="79"/>
      <c r="H268" s="79"/>
      <c r="I268" s="45"/>
      <c r="J268" s="57"/>
      <c r="K268" s="43"/>
      <c r="L268" s="45"/>
    </row>
    <row r="269" spans="1:12" ht="14.25" hidden="1" x14ac:dyDescent="0.2">
      <c r="A269" s="57"/>
      <c r="B269" s="58"/>
      <c r="C269" s="79" t="s">
        <v>350</v>
      </c>
      <c r="D269" s="79"/>
      <c r="E269" s="79"/>
      <c r="F269" s="79"/>
      <c r="G269" s="79"/>
      <c r="H269" s="79"/>
      <c r="I269" s="45"/>
      <c r="J269" s="57"/>
      <c r="K269" s="43"/>
      <c r="L269" s="45">
        <f>SUMIF(CD52:CD252, 1, AW52:AW252)-SUMIF(CD52:CD252, 1, BK52:BK252)</f>
        <v>0</v>
      </c>
    </row>
    <row r="270" spans="1:12" ht="14.25" hidden="1" x14ac:dyDescent="0.2">
      <c r="A270" s="57"/>
      <c r="B270" s="58"/>
      <c r="C270" s="79" t="s">
        <v>351</v>
      </c>
      <c r="D270" s="79"/>
      <c r="E270" s="79"/>
      <c r="F270" s="79"/>
      <c r="G270" s="79"/>
      <c r="H270" s="79"/>
      <c r="I270" s="45"/>
      <c r="J270" s="57"/>
      <c r="K270" s="43"/>
      <c r="L270" s="45">
        <f>SUMIF(CD52:CD252, 1, BC52:BC252)</f>
        <v>0</v>
      </c>
    </row>
    <row r="271" spans="1:12" ht="14.25" hidden="1" x14ac:dyDescent="0.2">
      <c r="A271" s="57"/>
      <c r="B271" s="58"/>
      <c r="C271" s="79" t="s">
        <v>352</v>
      </c>
      <c r="D271" s="79"/>
      <c r="E271" s="79"/>
      <c r="F271" s="79"/>
      <c r="G271" s="79"/>
      <c r="H271" s="79"/>
      <c r="I271" s="45"/>
      <c r="J271" s="57"/>
      <c r="K271" s="43"/>
      <c r="L271" s="45">
        <f>SUMIF(CD52:CD252, 1, BB52:BB252)</f>
        <v>0</v>
      </c>
    </row>
    <row r="272" spans="1:12" ht="14.25" hidden="1" x14ac:dyDescent="0.2">
      <c r="A272" s="57"/>
      <c r="B272" s="58"/>
      <c r="C272" s="79" t="s">
        <v>385</v>
      </c>
      <c r="D272" s="79"/>
      <c r="E272" s="79"/>
      <c r="F272" s="79"/>
      <c r="G272" s="79"/>
      <c r="H272" s="79"/>
      <c r="I272" s="45"/>
      <c r="J272" s="57"/>
      <c r="K272" s="43"/>
      <c r="L272" s="45">
        <f>SUMIF(CD52:CD252, 1, AR52:AR252)+SUMIF(CD52:CD252, 1, AT52:AT252)+SUMIF(CD52:CD252, 1, AV52:AV252)</f>
        <v>0</v>
      </c>
    </row>
    <row r="273" spans="1:12" ht="14.25" hidden="1" x14ac:dyDescent="0.2">
      <c r="A273" s="57"/>
      <c r="B273" s="58"/>
      <c r="C273" s="79" t="s">
        <v>386</v>
      </c>
      <c r="D273" s="79"/>
      <c r="E273" s="79"/>
      <c r="F273" s="79"/>
      <c r="G273" s="79"/>
      <c r="H273" s="79"/>
      <c r="I273" s="45"/>
      <c r="J273" s="57"/>
      <c r="K273" s="43"/>
      <c r="L273" s="45">
        <f>SUMIF(CD52:CD252, 1, AZ52:AZ252)</f>
        <v>0</v>
      </c>
    </row>
    <row r="274" spans="1:12" ht="14.25" hidden="1" x14ac:dyDescent="0.2">
      <c r="A274" s="57"/>
      <c r="B274" s="58"/>
      <c r="C274" s="79" t="s">
        <v>387</v>
      </c>
      <c r="D274" s="79"/>
      <c r="E274" s="79"/>
      <c r="F274" s="79"/>
      <c r="G274" s="79"/>
      <c r="H274" s="79"/>
      <c r="I274" s="45"/>
      <c r="J274" s="57"/>
      <c r="K274" s="43"/>
      <c r="L274" s="45">
        <f>SUMIF(CD52:CD252, 1, BA52:BA252)</f>
        <v>0</v>
      </c>
    </row>
    <row r="276" spans="1:12" ht="15" x14ac:dyDescent="0.2">
      <c r="A276" s="59"/>
      <c r="B276" s="60"/>
      <c r="C276" s="80" t="s">
        <v>388</v>
      </c>
      <c r="D276" s="80"/>
      <c r="E276" s="80"/>
      <c r="F276" s="80"/>
      <c r="G276" s="80"/>
      <c r="H276" s="80"/>
      <c r="I276" s="49"/>
      <c r="J276" s="59"/>
      <c r="K276" s="61"/>
      <c r="L276" s="49">
        <f>L278+L293+L294</f>
        <v>8725.5400000000009</v>
      </c>
    </row>
    <row r="277" spans="1:12" ht="14.25" x14ac:dyDescent="0.2">
      <c r="A277" s="57"/>
      <c r="B277" s="58"/>
      <c r="C277" s="81" t="s">
        <v>343</v>
      </c>
      <c r="D277" s="79"/>
      <c r="E277" s="79"/>
      <c r="F277" s="79"/>
      <c r="G277" s="79"/>
      <c r="H277" s="79"/>
      <c r="I277" s="45"/>
      <c r="J277" s="57"/>
      <c r="K277" s="43"/>
      <c r="L277" s="45"/>
    </row>
    <row r="278" spans="1:12" ht="14.25" x14ac:dyDescent="0.2">
      <c r="A278" s="57"/>
      <c r="B278" s="58"/>
      <c r="C278" s="79" t="s">
        <v>383</v>
      </c>
      <c r="D278" s="79"/>
      <c r="E278" s="79"/>
      <c r="F278" s="79"/>
      <c r="G278" s="79"/>
      <c r="H278" s="79"/>
      <c r="I278" s="45"/>
      <c r="J278" s="57"/>
      <c r="K278" s="43"/>
      <c r="L278" s="45">
        <f>L280+L281+L287+L291</f>
        <v>6228.21</v>
      </c>
    </row>
    <row r="279" spans="1:12" ht="14.25" x14ac:dyDescent="0.2">
      <c r="A279" s="57"/>
      <c r="B279" s="58"/>
      <c r="C279" s="81" t="s">
        <v>343</v>
      </c>
      <c r="D279" s="79"/>
      <c r="E279" s="79"/>
      <c r="F279" s="79"/>
      <c r="G279" s="79"/>
      <c r="H279" s="79"/>
      <c r="I279" s="45"/>
      <c r="J279" s="57"/>
      <c r="K279" s="43"/>
      <c r="L279" s="45"/>
    </row>
    <row r="280" spans="1:12" ht="14.25" x14ac:dyDescent="0.2">
      <c r="A280" s="57"/>
      <c r="B280" s="58"/>
      <c r="C280" s="79" t="s">
        <v>384</v>
      </c>
      <c r="D280" s="79"/>
      <c r="E280" s="79"/>
      <c r="F280" s="79"/>
      <c r="G280" s="79"/>
      <c r="H280" s="79"/>
      <c r="I280" s="45"/>
      <c r="J280" s="57"/>
      <c r="K280" s="43"/>
      <c r="L280" s="45">
        <f>SUMIF(CD52:CD274, 2, AR52:AR274)</f>
        <v>1680.18</v>
      </c>
    </row>
    <row r="281" spans="1:12" ht="14.25" hidden="1" x14ac:dyDescent="0.2">
      <c r="A281" s="57"/>
      <c r="B281" s="58"/>
      <c r="C281" s="79" t="s">
        <v>345</v>
      </c>
      <c r="D281" s="79"/>
      <c r="E281" s="79"/>
      <c r="F281" s="79"/>
      <c r="G281" s="79"/>
      <c r="H281" s="79"/>
      <c r="I281" s="45"/>
      <c r="J281" s="57"/>
      <c r="K281" s="43"/>
      <c r="L281" s="45">
        <f>L283+L286+L285</f>
        <v>24.359999999999996</v>
      </c>
    </row>
    <row r="282" spans="1:12" ht="14.25" hidden="1" x14ac:dyDescent="0.2">
      <c r="A282" s="57"/>
      <c r="B282" s="58"/>
      <c r="C282" s="81" t="s">
        <v>346</v>
      </c>
      <c r="D282" s="79"/>
      <c r="E282" s="79"/>
      <c r="F282" s="79"/>
      <c r="G282" s="79"/>
      <c r="H282" s="79"/>
      <c r="I282" s="45"/>
      <c r="J282" s="57"/>
      <c r="K282" s="43"/>
      <c r="L282" s="45"/>
    </row>
    <row r="283" spans="1:12" ht="14.25" x14ac:dyDescent="0.2">
      <c r="A283" s="57"/>
      <c r="B283" s="58"/>
      <c r="C283" s="79" t="s">
        <v>345</v>
      </c>
      <c r="D283" s="79"/>
      <c r="E283" s="79"/>
      <c r="F283" s="79"/>
      <c r="G283" s="79"/>
      <c r="H283" s="79"/>
      <c r="I283" s="45"/>
      <c r="J283" s="57"/>
      <c r="K283" s="43"/>
      <c r="L283" s="45">
        <f>SUMIF(CD52:CD274, 2, AO52:AO274)</f>
        <v>17.159999999999997</v>
      </c>
    </row>
    <row r="284" spans="1:12" ht="14.25" hidden="1" x14ac:dyDescent="0.2">
      <c r="A284" s="57"/>
      <c r="B284" s="58"/>
      <c r="C284" s="81" t="s">
        <v>347</v>
      </c>
      <c r="D284" s="79"/>
      <c r="E284" s="79"/>
      <c r="F284" s="79"/>
      <c r="G284" s="79"/>
      <c r="H284" s="79"/>
      <c r="I284" s="45"/>
      <c r="J284" s="57"/>
      <c r="K284" s="43"/>
      <c r="L284" s="45"/>
    </row>
    <row r="285" spans="1:12" ht="14.25" x14ac:dyDescent="0.2">
      <c r="A285" s="57"/>
      <c r="B285" s="58"/>
      <c r="C285" s="79" t="s">
        <v>367</v>
      </c>
      <c r="D285" s="79"/>
      <c r="E285" s="79"/>
      <c r="F285" s="79"/>
      <c r="G285" s="79"/>
      <c r="H285" s="79"/>
      <c r="I285" s="45"/>
      <c r="J285" s="57"/>
      <c r="K285" s="43"/>
      <c r="L285" s="45">
        <f>SUMIF(CD52:CD274, 2, AT52:AT274)</f>
        <v>7.2</v>
      </c>
    </row>
    <row r="286" spans="1:12" ht="14.25" hidden="1" x14ac:dyDescent="0.2">
      <c r="A286" s="57"/>
      <c r="B286" s="58"/>
      <c r="C286" s="79" t="s">
        <v>348</v>
      </c>
      <c r="D286" s="79"/>
      <c r="E286" s="79"/>
      <c r="F286" s="79"/>
      <c r="G286" s="79"/>
      <c r="H286" s="79"/>
      <c r="I286" s="45"/>
      <c r="J286" s="57"/>
      <c r="K286" s="43"/>
      <c r="L286" s="45">
        <f>SUMIF(CD52:CD274, 2, AV52:AV274)</f>
        <v>0</v>
      </c>
    </row>
    <row r="287" spans="1:12" ht="14.25" x14ac:dyDescent="0.2">
      <c r="A287" s="57"/>
      <c r="B287" s="58"/>
      <c r="C287" s="79" t="s">
        <v>349</v>
      </c>
      <c r="D287" s="79"/>
      <c r="E287" s="79"/>
      <c r="F287" s="79"/>
      <c r="G287" s="79"/>
      <c r="H287" s="79"/>
      <c r="I287" s="45"/>
      <c r="J287" s="57"/>
      <c r="K287" s="43"/>
      <c r="L287" s="45">
        <f>L289+L290</f>
        <v>4523.67</v>
      </c>
    </row>
    <row r="288" spans="1:12" ht="14.25" x14ac:dyDescent="0.2">
      <c r="A288" s="57"/>
      <c r="B288" s="58"/>
      <c r="C288" s="81" t="s">
        <v>346</v>
      </c>
      <c r="D288" s="79"/>
      <c r="E288" s="79"/>
      <c r="F288" s="79"/>
      <c r="G288" s="79"/>
      <c r="H288" s="79"/>
      <c r="I288" s="45"/>
      <c r="J288" s="57"/>
      <c r="K288" s="43"/>
      <c r="L288" s="45"/>
    </row>
    <row r="289" spans="1:12" ht="14.25" x14ac:dyDescent="0.2">
      <c r="A289" s="57"/>
      <c r="B289" s="58"/>
      <c r="C289" s="79" t="s">
        <v>350</v>
      </c>
      <c r="D289" s="79"/>
      <c r="E289" s="79"/>
      <c r="F289" s="79"/>
      <c r="G289" s="79"/>
      <c r="H289" s="79"/>
      <c r="I289" s="45"/>
      <c r="J289" s="57"/>
      <c r="K289" s="43"/>
      <c r="L289" s="45">
        <f>SUMIF(CD52:CD274, 2, AW52:AW274)-SUMIF(CD52:CD274, 2, BK52:BK274)</f>
        <v>4523.67</v>
      </c>
    </row>
    <row r="290" spans="1:12" ht="14.25" hidden="1" x14ac:dyDescent="0.2">
      <c r="A290" s="57"/>
      <c r="B290" s="58"/>
      <c r="C290" s="79" t="s">
        <v>351</v>
      </c>
      <c r="D290" s="79"/>
      <c r="E290" s="79"/>
      <c r="F290" s="79"/>
      <c r="G290" s="79"/>
      <c r="H290" s="79"/>
      <c r="I290" s="45"/>
      <c r="J290" s="57"/>
      <c r="K290" s="43"/>
      <c r="L290" s="45">
        <f>SUMIF(CD52:CD274, 2, BC52:BC274)</f>
        <v>0</v>
      </c>
    </row>
    <row r="291" spans="1:12" ht="14.25" hidden="1" x14ac:dyDescent="0.2">
      <c r="A291" s="57"/>
      <c r="B291" s="58"/>
      <c r="C291" s="79" t="s">
        <v>352</v>
      </c>
      <c r="D291" s="79"/>
      <c r="E291" s="79"/>
      <c r="F291" s="79"/>
      <c r="G291" s="79"/>
      <c r="H291" s="79"/>
      <c r="I291" s="45"/>
      <c r="J291" s="57"/>
      <c r="K291" s="43"/>
      <c r="L291" s="45">
        <f>SUMIF(CD52:CD274, 2, BB52:BB274)</f>
        <v>0</v>
      </c>
    </row>
    <row r="292" spans="1:12" ht="14.25" x14ac:dyDescent="0.2">
      <c r="A292" s="57"/>
      <c r="B292" s="58"/>
      <c r="C292" s="79" t="s">
        <v>385</v>
      </c>
      <c r="D292" s="79"/>
      <c r="E292" s="79"/>
      <c r="F292" s="79"/>
      <c r="G292" s="79"/>
      <c r="H292" s="79"/>
      <c r="I292" s="45"/>
      <c r="J292" s="57"/>
      <c r="K292" s="43"/>
      <c r="L292" s="45">
        <f>SUMIF(CD52:CD274, 2, AR52:AR274)+SUMIF(CD52:CD274, 2, AT52:AT274)+SUMIF(CD52:CD274, 2, AV52:AV274)</f>
        <v>1687.38</v>
      </c>
    </row>
    <row r="293" spans="1:12" ht="14.25" x14ac:dyDescent="0.2">
      <c r="A293" s="57"/>
      <c r="B293" s="58"/>
      <c r="C293" s="79" t="s">
        <v>386</v>
      </c>
      <c r="D293" s="79"/>
      <c r="E293" s="79"/>
      <c r="F293" s="79"/>
      <c r="G293" s="79"/>
      <c r="H293" s="79"/>
      <c r="I293" s="45"/>
      <c r="J293" s="57"/>
      <c r="K293" s="43"/>
      <c r="L293" s="45">
        <f>SUMIF(CD52:CD274, 2, AZ52:AZ274)</f>
        <v>1636.76</v>
      </c>
    </row>
    <row r="294" spans="1:12" ht="14.25" x14ac:dyDescent="0.2">
      <c r="A294" s="57"/>
      <c r="B294" s="58"/>
      <c r="C294" s="79" t="s">
        <v>387</v>
      </c>
      <c r="D294" s="79"/>
      <c r="E294" s="79"/>
      <c r="F294" s="79"/>
      <c r="G294" s="79"/>
      <c r="H294" s="79"/>
      <c r="I294" s="45"/>
      <c r="J294" s="57"/>
      <c r="K294" s="43"/>
      <c r="L294" s="45">
        <f>SUMIF(CD52:CD274, 2, BA52:BA274)</f>
        <v>860.57</v>
      </c>
    </row>
    <row r="295" spans="1:12" hidden="1" x14ac:dyDescent="0.2"/>
    <row r="296" spans="1:12" ht="15" hidden="1" x14ac:dyDescent="0.2">
      <c r="A296" s="59"/>
      <c r="B296" s="60"/>
      <c r="C296" s="80" t="s">
        <v>389</v>
      </c>
      <c r="D296" s="80"/>
      <c r="E296" s="80"/>
      <c r="F296" s="80"/>
      <c r="G296" s="80"/>
      <c r="H296" s="80"/>
      <c r="I296" s="49"/>
      <c r="J296" s="59"/>
      <c r="K296" s="61"/>
      <c r="L296" s="49">
        <f>L298+L299</f>
        <v>0</v>
      </c>
    </row>
    <row r="297" spans="1:12" ht="14.25" hidden="1" x14ac:dyDescent="0.2">
      <c r="A297" s="57"/>
      <c r="B297" s="58"/>
      <c r="C297" s="81" t="s">
        <v>343</v>
      </c>
      <c r="D297" s="79"/>
      <c r="E297" s="79"/>
      <c r="F297" s="79"/>
      <c r="G297" s="79"/>
      <c r="H297" s="79"/>
      <c r="I297" s="45"/>
      <c r="J297" s="57"/>
      <c r="K297" s="43"/>
      <c r="L297" s="45"/>
    </row>
    <row r="298" spans="1:12" ht="14.25" hidden="1" x14ac:dyDescent="0.2">
      <c r="A298" s="57"/>
      <c r="B298" s="58"/>
      <c r="C298" s="79" t="s">
        <v>357</v>
      </c>
      <c r="D298" s="79"/>
      <c r="E298" s="79"/>
      <c r="F298" s="79"/>
      <c r="G298" s="79"/>
      <c r="H298" s="79"/>
      <c r="I298" s="45"/>
      <c r="J298" s="57"/>
      <c r="K298" s="43"/>
      <c r="L298" s="45">
        <f>SUMIF(CD52:CD294, 3, BK52:BK294)</f>
        <v>0</v>
      </c>
    </row>
    <row r="299" spans="1:12" ht="14.25" hidden="1" x14ac:dyDescent="0.2">
      <c r="A299" s="57"/>
      <c r="B299" s="58"/>
      <c r="C299" s="79" t="s">
        <v>358</v>
      </c>
      <c r="D299" s="79"/>
      <c r="E299" s="79"/>
      <c r="F299" s="79"/>
      <c r="G299" s="79"/>
      <c r="H299" s="79"/>
      <c r="I299" s="45"/>
      <c r="J299" s="57"/>
      <c r="K299" s="43"/>
      <c r="L299" s="45">
        <f>SUMIF(CD52:CD294, 3, BD52:BD294)</f>
        <v>0</v>
      </c>
    </row>
    <row r="301" spans="1:12" ht="15" x14ac:dyDescent="0.2">
      <c r="A301" s="59"/>
      <c r="B301" s="60"/>
      <c r="C301" s="80" t="s">
        <v>390</v>
      </c>
      <c r="D301" s="80"/>
      <c r="E301" s="80"/>
      <c r="F301" s="80"/>
      <c r="G301" s="80"/>
      <c r="H301" s="80"/>
      <c r="I301" s="49"/>
      <c r="J301" s="59"/>
      <c r="K301" s="61"/>
      <c r="L301" s="49">
        <f>L309+L324+L325+L303+L304+L305+L306</f>
        <v>53708.360000000008</v>
      </c>
    </row>
    <row r="302" spans="1:12" ht="14.25" x14ac:dyDescent="0.2">
      <c r="A302" s="57"/>
      <c r="B302" s="58"/>
      <c r="C302" s="81" t="s">
        <v>343</v>
      </c>
      <c r="D302" s="79"/>
      <c r="E302" s="79"/>
      <c r="F302" s="79"/>
      <c r="G302" s="79"/>
      <c r="H302" s="79"/>
      <c r="I302" s="45"/>
      <c r="J302" s="57"/>
      <c r="K302" s="43"/>
      <c r="L302" s="45"/>
    </row>
    <row r="303" spans="1:12" ht="14.25" hidden="1" x14ac:dyDescent="0.2">
      <c r="A303" s="57"/>
      <c r="B303" s="58"/>
      <c r="C303" s="79" t="s">
        <v>391</v>
      </c>
      <c r="D303" s="79"/>
      <c r="E303" s="79"/>
      <c r="F303" s="79"/>
      <c r="G303" s="79"/>
      <c r="H303" s="79"/>
      <c r="I303" s="45"/>
      <c r="J303" s="57"/>
      <c r="K303" s="43"/>
      <c r="L303" s="45"/>
    </row>
    <row r="304" spans="1:12" ht="14.25" hidden="1" x14ac:dyDescent="0.2">
      <c r="A304" s="57"/>
      <c r="B304" s="58"/>
      <c r="C304" s="79" t="s">
        <v>391</v>
      </c>
      <c r="D304" s="79"/>
      <c r="E304" s="79"/>
      <c r="F304" s="79"/>
      <c r="G304" s="79"/>
      <c r="H304" s="79"/>
      <c r="I304" s="45"/>
      <c r="J304" s="57"/>
      <c r="K304" s="43"/>
      <c r="L304" s="45">
        <f>SUM(BQ52:BQ299)</f>
        <v>0</v>
      </c>
    </row>
    <row r="305" spans="1:12" ht="14.25" hidden="1" x14ac:dyDescent="0.2">
      <c r="A305" s="57"/>
      <c r="B305" s="58"/>
      <c r="C305" s="79" t="s">
        <v>392</v>
      </c>
      <c r="D305" s="79"/>
      <c r="E305" s="79"/>
      <c r="F305" s="79"/>
      <c r="G305" s="79"/>
      <c r="H305" s="79"/>
      <c r="I305" s="45"/>
      <c r="J305" s="57"/>
      <c r="K305" s="43"/>
      <c r="L305" s="45">
        <f>SUMIF(CD52:CD299, 4, BB52:BB299)+SUMIF(CD52:CD299, 4, BC52:BC299)+SUMIF(CD52:CD299, 4, BD52:BD299)</f>
        <v>0</v>
      </c>
    </row>
    <row r="306" spans="1:12" ht="14.25" hidden="1" x14ac:dyDescent="0.2">
      <c r="A306" s="57"/>
      <c r="B306" s="58"/>
      <c r="C306" s="79" t="s">
        <v>393</v>
      </c>
      <c r="D306" s="79"/>
      <c r="E306" s="79"/>
      <c r="F306" s="79"/>
      <c r="G306" s="79"/>
      <c r="H306" s="79"/>
      <c r="I306" s="45"/>
      <c r="J306" s="57"/>
      <c r="K306" s="43"/>
      <c r="L306" s="45">
        <f>SUM(BO52:BO299)</f>
        <v>0</v>
      </c>
    </row>
    <row r="307" spans="1:12" ht="14.25" x14ac:dyDescent="0.2">
      <c r="A307" s="57"/>
      <c r="B307" s="58"/>
      <c r="C307" s="79" t="s">
        <v>107</v>
      </c>
      <c r="D307" s="79"/>
      <c r="E307" s="79"/>
      <c r="F307" s="79"/>
      <c r="G307" s="79"/>
      <c r="H307" s="79"/>
      <c r="I307" s="45"/>
      <c r="J307" s="57"/>
      <c r="K307" s="43"/>
      <c r="L307" s="45">
        <f>L309+L324+L325</f>
        <v>53708.360000000008</v>
      </c>
    </row>
    <row r="308" spans="1:12" ht="14.25" x14ac:dyDescent="0.2">
      <c r="A308" s="57"/>
      <c r="B308" s="58"/>
      <c r="C308" s="81" t="s">
        <v>343</v>
      </c>
      <c r="D308" s="79"/>
      <c r="E308" s="79"/>
      <c r="F308" s="79"/>
      <c r="G308" s="79"/>
      <c r="H308" s="79"/>
      <c r="I308" s="45"/>
      <c r="J308" s="57"/>
      <c r="K308" s="43"/>
      <c r="L308" s="45"/>
    </row>
    <row r="309" spans="1:12" ht="14.25" x14ac:dyDescent="0.2">
      <c r="A309" s="57"/>
      <c r="B309" s="58"/>
      <c r="C309" s="79" t="s">
        <v>383</v>
      </c>
      <c r="D309" s="79"/>
      <c r="E309" s="79"/>
      <c r="F309" s="79"/>
      <c r="G309" s="79"/>
      <c r="H309" s="79"/>
      <c r="I309" s="45"/>
      <c r="J309" s="57"/>
      <c r="K309" s="43"/>
      <c r="L309" s="45">
        <f>L311+L312+L318+L322</f>
        <v>25575.410000000003</v>
      </c>
    </row>
    <row r="310" spans="1:12" ht="14.25" x14ac:dyDescent="0.2">
      <c r="A310" s="57"/>
      <c r="B310" s="58"/>
      <c r="C310" s="81" t="s">
        <v>343</v>
      </c>
      <c r="D310" s="79"/>
      <c r="E310" s="79"/>
      <c r="F310" s="79"/>
      <c r="G310" s="79"/>
      <c r="H310" s="79"/>
      <c r="I310" s="45"/>
      <c r="J310" s="57"/>
      <c r="K310" s="43"/>
      <c r="L310" s="45"/>
    </row>
    <row r="311" spans="1:12" ht="14.25" x14ac:dyDescent="0.2">
      <c r="A311" s="57"/>
      <c r="B311" s="58"/>
      <c r="C311" s="79" t="s">
        <v>384</v>
      </c>
      <c r="D311" s="79"/>
      <c r="E311" s="79"/>
      <c r="F311" s="79"/>
      <c r="G311" s="79"/>
      <c r="H311" s="79"/>
      <c r="I311" s="45"/>
      <c r="J311" s="57"/>
      <c r="K311" s="43"/>
      <c r="L311" s="45">
        <f>SUMIF(CD52:CD299, 4, AR52:AR299)</f>
        <v>25575.410000000003</v>
      </c>
    </row>
    <row r="312" spans="1:12" ht="14.25" hidden="1" x14ac:dyDescent="0.2">
      <c r="A312" s="57"/>
      <c r="B312" s="58"/>
      <c r="C312" s="79" t="s">
        <v>345</v>
      </c>
      <c r="D312" s="79"/>
      <c r="E312" s="79"/>
      <c r="F312" s="79"/>
      <c r="G312" s="79"/>
      <c r="H312" s="79"/>
      <c r="I312" s="45"/>
      <c r="J312" s="57"/>
      <c r="K312" s="43"/>
      <c r="L312" s="45">
        <f>L314+L317+L316</f>
        <v>0</v>
      </c>
    </row>
    <row r="313" spans="1:12" ht="14.25" hidden="1" x14ac:dyDescent="0.2">
      <c r="A313" s="57"/>
      <c r="B313" s="58"/>
      <c r="C313" s="81" t="s">
        <v>346</v>
      </c>
      <c r="D313" s="79"/>
      <c r="E313" s="79"/>
      <c r="F313" s="79"/>
      <c r="G313" s="79"/>
      <c r="H313" s="79"/>
      <c r="I313" s="45"/>
      <c r="J313" s="57"/>
      <c r="K313" s="43"/>
      <c r="L313" s="45"/>
    </row>
    <row r="314" spans="1:12" ht="14.25" hidden="1" x14ac:dyDescent="0.2">
      <c r="A314" s="57"/>
      <c r="B314" s="58"/>
      <c r="C314" s="79" t="s">
        <v>345</v>
      </c>
      <c r="D314" s="79"/>
      <c r="E314" s="79"/>
      <c r="F314" s="79"/>
      <c r="G314" s="79"/>
      <c r="H314" s="79"/>
      <c r="I314" s="45"/>
      <c r="J314" s="57"/>
      <c r="K314" s="43"/>
      <c r="L314" s="45">
        <f>SUMIF(CD52:CD299, 4, AO52:AO299)</f>
        <v>0</v>
      </c>
    </row>
    <row r="315" spans="1:12" ht="14.25" hidden="1" x14ac:dyDescent="0.2">
      <c r="A315" s="57"/>
      <c r="B315" s="58"/>
      <c r="C315" s="81" t="s">
        <v>347</v>
      </c>
      <c r="D315" s="79"/>
      <c r="E315" s="79"/>
      <c r="F315" s="79"/>
      <c r="G315" s="79"/>
      <c r="H315" s="79"/>
      <c r="I315" s="45"/>
      <c r="J315" s="57"/>
      <c r="K315" s="43"/>
      <c r="L315" s="45"/>
    </row>
    <row r="316" spans="1:12" ht="14.25" hidden="1" x14ac:dyDescent="0.2">
      <c r="A316" s="57"/>
      <c r="B316" s="58"/>
      <c r="C316" s="79" t="s">
        <v>367</v>
      </c>
      <c r="D316" s="79"/>
      <c r="E316" s="79"/>
      <c r="F316" s="79"/>
      <c r="G316" s="79"/>
      <c r="H316" s="79"/>
      <c r="I316" s="45"/>
      <c r="J316" s="57"/>
      <c r="K316" s="43"/>
      <c r="L316" s="45">
        <f>SUMIF(CD52:CD299, 4, AT52:AT299)</f>
        <v>0</v>
      </c>
    </row>
    <row r="317" spans="1:12" ht="14.25" hidden="1" x14ac:dyDescent="0.2">
      <c r="A317" s="57"/>
      <c r="B317" s="58"/>
      <c r="C317" s="79" t="s">
        <v>348</v>
      </c>
      <c r="D317" s="79"/>
      <c r="E317" s="79"/>
      <c r="F317" s="79"/>
      <c r="G317" s="79"/>
      <c r="H317" s="79"/>
      <c r="I317" s="45"/>
      <c r="J317" s="57"/>
      <c r="K317" s="43"/>
      <c r="L317" s="45">
        <f>SUMIF(CD52:CD299, 4, AV52:AV299)</f>
        <v>0</v>
      </c>
    </row>
    <row r="318" spans="1:12" ht="14.25" hidden="1" x14ac:dyDescent="0.2">
      <c r="A318" s="57"/>
      <c r="B318" s="58"/>
      <c r="C318" s="79" t="s">
        <v>349</v>
      </c>
      <c r="D318" s="79"/>
      <c r="E318" s="79"/>
      <c r="F318" s="79"/>
      <c r="G318" s="79"/>
      <c r="H318" s="79"/>
      <c r="I318" s="45"/>
      <c r="J318" s="57"/>
      <c r="K318" s="43"/>
      <c r="L318" s="45">
        <f>L320+L321</f>
        <v>0</v>
      </c>
    </row>
    <row r="319" spans="1:12" ht="14.25" hidden="1" x14ac:dyDescent="0.2">
      <c r="A319" s="57"/>
      <c r="B319" s="58"/>
      <c r="C319" s="81" t="s">
        <v>346</v>
      </c>
      <c r="D319" s="79"/>
      <c r="E319" s="79"/>
      <c r="F319" s="79"/>
      <c r="G319" s="79"/>
      <c r="H319" s="79"/>
      <c r="I319" s="45"/>
      <c r="J319" s="57"/>
      <c r="K319" s="43"/>
      <c r="L319" s="45"/>
    </row>
    <row r="320" spans="1:12" ht="14.25" hidden="1" x14ac:dyDescent="0.2">
      <c r="A320" s="57"/>
      <c r="B320" s="58"/>
      <c r="C320" s="79" t="s">
        <v>350</v>
      </c>
      <c r="D320" s="79"/>
      <c r="E320" s="79"/>
      <c r="F320" s="79"/>
      <c r="G320" s="79"/>
      <c r="H320" s="79"/>
      <c r="I320" s="45"/>
      <c r="J320" s="57"/>
      <c r="K320" s="43"/>
      <c r="L320" s="45">
        <f>SUMIF(CD52:CD299, 4, AW52:AW299)-SUMIF(CD52:CD299, 4, BK52:BK299)</f>
        <v>0</v>
      </c>
    </row>
    <row r="321" spans="1:12" ht="14.25" hidden="1" x14ac:dyDescent="0.2">
      <c r="A321" s="57"/>
      <c r="B321" s="58"/>
      <c r="C321" s="79" t="s">
        <v>351</v>
      </c>
      <c r="D321" s="79"/>
      <c r="E321" s="79"/>
      <c r="F321" s="79"/>
      <c r="G321" s="79"/>
      <c r="H321" s="79"/>
      <c r="I321" s="45"/>
      <c r="J321" s="57"/>
      <c r="K321" s="43"/>
      <c r="L321" s="45">
        <f>SUMIF(CD52:CD299, 4, BC52:BC299)</f>
        <v>0</v>
      </c>
    </row>
    <row r="322" spans="1:12" ht="14.25" hidden="1" x14ac:dyDescent="0.2">
      <c r="A322" s="57"/>
      <c r="B322" s="58"/>
      <c r="C322" s="79" t="s">
        <v>352</v>
      </c>
      <c r="D322" s="79"/>
      <c r="E322" s="79"/>
      <c r="F322" s="79"/>
      <c r="G322" s="79"/>
      <c r="H322" s="79"/>
      <c r="I322" s="45"/>
      <c r="J322" s="57"/>
      <c r="K322" s="43"/>
      <c r="L322" s="45">
        <f>SUMIF(CD52:CD299, 4, BB52:BB299)</f>
        <v>0</v>
      </c>
    </row>
    <row r="323" spans="1:12" ht="14.25" x14ac:dyDescent="0.2">
      <c r="A323" s="57"/>
      <c r="B323" s="58"/>
      <c r="C323" s="79" t="s">
        <v>385</v>
      </c>
      <c r="D323" s="79"/>
      <c r="E323" s="79"/>
      <c r="F323" s="79"/>
      <c r="G323" s="79"/>
      <c r="H323" s="79"/>
      <c r="I323" s="45"/>
      <c r="J323" s="57"/>
      <c r="K323" s="43"/>
      <c r="L323" s="45">
        <f>SUMIF(CD52:CD299, 4, AR52:AR299)+SUMIF(CD52:CD299, 4, AT52:AT299)+SUMIF(CD52:CD299, 4, AV52:AV299)</f>
        <v>25575.410000000003</v>
      </c>
    </row>
    <row r="324" spans="1:12" ht="14.25" x14ac:dyDescent="0.2">
      <c r="A324" s="57"/>
      <c r="B324" s="58"/>
      <c r="C324" s="79" t="s">
        <v>386</v>
      </c>
      <c r="D324" s="79"/>
      <c r="E324" s="79"/>
      <c r="F324" s="79"/>
      <c r="G324" s="79"/>
      <c r="H324" s="79"/>
      <c r="I324" s="45"/>
      <c r="J324" s="57"/>
      <c r="K324" s="43"/>
      <c r="L324" s="45">
        <f>SUMIF(CD52:CD299, 4, AZ52:AZ299)</f>
        <v>18925.800000000003</v>
      </c>
    </row>
    <row r="325" spans="1:12" ht="14.25" x14ac:dyDescent="0.2">
      <c r="A325" s="57"/>
      <c r="B325" s="58"/>
      <c r="C325" s="79" t="s">
        <v>387</v>
      </c>
      <c r="D325" s="79"/>
      <c r="E325" s="79"/>
      <c r="F325" s="79"/>
      <c r="G325" s="79"/>
      <c r="H325" s="79"/>
      <c r="I325" s="45"/>
      <c r="J325" s="57"/>
      <c r="K325" s="43"/>
      <c r="L325" s="45">
        <f>SUMIF(CD52:CD299, 4, BA52:BA299)</f>
        <v>9207.15</v>
      </c>
    </row>
    <row r="327" spans="1:12" ht="15" x14ac:dyDescent="0.2">
      <c r="A327" s="59"/>
      <c r="B327" s="60"/>
      <c r="C327" s="80" t="s">
        <v>394</v>
      </c>
      <c r="D327" s="80"/>
      <c r="E327" s="80"/>
      <c r="F327" s="80"/>
      <c r="G327" s="80"/>
      <c r="H327" s="80"/>
      <c r="I327" s="49"/>
      <c r="J327" s="59"/>
      <c r="K327" s="61"/>
      <c r="L327" s="49">
        <f>L256+L276+L296+L301</f>
        <v>62433.900000000009</v>
      </c>
    </row>
    <row r="328" spans="1:12" ht="14.25" x14ac:dyDescent="0.2">
      <c r="A328" s="57"/>
      <c r="B328" s="58"/>
      <c r="C328" s="81" t="s">
        <v>343</v>
      </c>
      <c r="D328" s="79"/>
      <c r="E328" s="79"/>
      <c r="F328" s="79"/>
      <c r="G328" s="79"/>
      <c r="H328" s="79"/>
      <c r="I328" s="45"/>
      <c r="J328" s="57"/>
      <c r="K328" s="43"/>
      <c r="L328" s="45"/>
    </row>
    <row r="329" spans="1:12" ht="14.25" x14ac:dyDescent="0.2">
      <c r="A329" s="57"/>
      <c r="B329" s="58"/>
      <c r="C329" s="79" t="s">
        <v>383</v>
      </c>
      <c r="D329" s="79"/>
      <c r="E329" s="79"/>
      <c r="F329" s="79"/>
      <c r="G329" s="79"/>
      <c r="H329" s="79"/>
      <c r="I329" s="45"/>
      <c r="J329" s="57"/>
      <c r="K329" s="43"/>
      <c r="L329" s="45">
        <f>L331+L332+L338+L342</f>
        <v>31803.620000000003</v>
      </c>
    </row>
    <row r="330" spans="1:12" ht="14.25" x14ac:dyDescent="0.2">
      <c r="A330" s="57"/>
      <c r="B330" s="58"/>
      <c r="C330" s="81" t="s">
        <v>343</v>
      </c>
      <c r="D330" s="79"/>
      <c r="E330" s="79"/>
      <c r="F330" s="79"/>
      <c r="G330" s="79"/>
      <c r="H330" s="79"/>
      <c r="I330" s="45"/>
      <c r="J330" s="57"/>
      <c r="K330" s="43"/>
      <c r="L330" s="45"/>
    </row>
    <row r="331" spans="1:12" ht="14.25" x14ac:dyDescent="0.2">
      <c r="A331" s="57"/>
      <c r="B331" s="58"/>
      <c r="C331" s="79" t="s">
        <v>384</v>
      </c>
      <c r="D331" s="79"/>
      <c r="E331" s="79"/>
      <c r="F331" s="79"/>
      <c r="G331" s="79"/>
      <c r="H331" s="79"/>
      <c r="I331" s="45"/>
      <c r="J331" s="57"/>
      <c r="K331" s="43"/>
      <c r="L331" s="45">
        <f>SUM(AR52:AR325)</f>
        <v>27255.590000000004</v>
      </c>
    </row>
    <row r="332" spans="1:12" ht="14.25" hidden="1" x14ac:dyDescent="0.2">
      <c r="A332" s="57"/>
      <c r="B332" s="58"/>
      <c r="C332" s="79" t="s">
        <v>345</v>
      </c>
      <c r="D332" s="79"/>
      <c r="E332" s="79"/>
      <c r="F332" s="79"/>
      <c r="G332" s="79"/>
      <c r="H332" s="79"/>
      <c r="I332" s="45"/>
      <c r="J332" s="57"/>
      <c r="K332" s="43"/>
      <c r="L332" s="45">
        <f>L334+L337+L336</f>
        <v>24.359999999999996</v>
      </c>
    </row>
    <row r="333" spans="1:12" ht="14.25" hidden="1" x14ac:dyDescent="0.2">
      <c r="A333" s="57"/>
      <c r="B333" s="58"/>
      <c r="C333" s="81" t="s">
        <v>346</v>
      </c>
      <c r="D333" s="79"/>
      <c r="E333" s="79"/>
      <c r="F333" s="79"/>
      <c r="G333" s="79"/>
      <c r="H333" s="79"/>
      <c r="I333" s="45"/>
      <c r="J333" s="57"/>
      <c r="K333" s="43"/>
      <c r="L333" s="45"/>
    </row>
    <row r="334" spans="1:12" ht="14.25" x14ac:dyDescent="0.2">
      <c r="A334" s="57"/>
      <c r="B334" s="58"/>
      <c r="C334" s="79" t="s">
        <v>345</v>
      </c>
      <c r="D334" s="79"/>
      <c r="E334" s="79"/>
      <c r="F334" s="79"/>
      <c r="G334" s="79"/>
      <c r="H334" s="79"/>
      <c r="I334" s="45"/>
      <c r="J334" s="57"/>
      <c r="K334" s="43"/>
      <c r="L334" s="45">
        <f>SUM(AO52:AO325)</f>
        <v>17.159999999999997</v>
      </c>
    </row>
    <row r="335" spans="1:12" ht="14.25" hidden="1" x14ac:dyDescent="0.2">
      <c r="A335" s="57"/>
      <c r="B335" s="58"/>
      <c r="C335" s="81" t="s">
        <v>347</v>
      </c>
      <c r="D335" s="79"/>
      <c r="E335" s="79"/>
      <c r="F335" s="79"/>
      <c r="G335" s="79"/>
      <c r="H335" s="79"/>
      <c r="I335" s="45"/>
      <c r="J335" s="57"/>
      <c r="K335" s="43"/>
      <c r="L335" s="45"/>
    </row>
    <row r="336" spans="1:12" ht="14.25" x14ac:dyDescent="0.2">
      <c r="A336" s="57"/>
      <c r="B336" s="58"/>
      <c r="C336" s="79" t="s">
        <v>367</v>
      </c>
      <c r="D336" s="79"/>
      <c r="E336" s="79"/>
      <c r="F336" s="79"/>
      <c r="G336" s="79"/>
      <c r="H336" s="79"/>
      <c r="I336" s="45"/>
      <c r="J336" s="57"/>
      <c r="K336" s="43"/>
      <c r="L336" s="45">
        <f>SUM(AT52:AT325)</f>
        <v>7.2</v>
      </c>
    </row>
    <row r="337" spans="1:12" ht="14.25" hidden="1" x14ac:dyDescent="0.2">
      <c r="A337" s="57"/>
      <c r="B337" s="58"/>
      <c r="C337" s="79" t="s">
        <v>348</v>
      </c>
      <c r="D337" s="79"/>
      <c r="E337" s="79"/>
      <c r="F337" s="79"/>
      <c r="G337" s="79"/>
      <c r="H337" s="79"/>
      <c r="I337" s="45"/>
      <c r="J337" s="57"/>
      <c r="K337" s="43"/>
      <c r="L337" s="45">
        <f>SUM(AV52:AV325)</f>
        <v>0</v>
      </c>
    </row>
    <row r="338" spans="1:12" ht="14.25" x14ac:dyDescent="0.2">
      <c r="A338" s="57"/>
      <c r="B338" s="58"/>
      <c r="C338" s="79" t="s">
        <v>349</v>
      </c>
      <c r="D338" s="79"/>
      <c r="E338" s="79"/>
      <c r="F338" s="79"/>
      <c r="G338" s="79"/>
      <c r="H338" s="79"/>
      <c r="I338" s="45"/>
      <c r="J338" s="57"/>
      <c r="K338" s="43"/>
      <c r="L338" s="45">
        <f>L340+L341</f>
        <v>4523.67</v>
      </c>
    </row>
    <row r="339" spans="1:12" ht="14.25" x14ac:dyDescent="0.2">
      <c r="A339" s="57"/>
      <c r="B339" s="58"/>
      <c r="C339" s="81" t="s">
        <v>346</v>
      </c>
      <c r="D339" s="79"/>
      <c r="E339" s="79"/>
      <c r="F339" s="79"/>
      <c r="G339" s="79"/>
      <c r="H339" s="79"/>
      <c r="I339" s="45"/>
      <c r="J339" s="57"/>
      <c r="K339" s="43"/>
      <c r="L339" s="45"/>
    </row>
    <row r="340" spans="1:12" ht="14.25" x14ac:dyDescent="0.2">
      <c r="A340" s="57"/>
      <c r="B340" s="58"/>
      <c r="C340" s="79" t="s">
        <v>350</v>
      </c>
      <c r="D340" s="79"/>
      <c r="E340" s="79"/>
      <c r="F340" s="79"/>
      <c r="G340" s="79"/>
      <c r="H340" s="79"/>
      <c r="I340" s="45"/>
      <c r="J340" s="57"/>
      <c r="K340" s="43"/>
      <c r="L340" s="45">
        <f>SUM(AW52:AW325)-SUM(BK52:BK325)</f>
        <v>4523.67</v>
      </c>
    </row>
    <row r="341" spans="1:12" ht="14.25" hidden="1" x14ac:dyDescent="0.2">
      <c r="A341" s="57"/>
      <c r="B341" s="58"/>
      <c r="C341" s="79" t="s">
        <v>351</v>
      </c>
      <c r="D341" s="79"/>
      <c r="E341" s="79"/>
      <c r="F341" s="79"/>
      <c r="G341" s="79"/>
      <c r="H341" s="79"/>
      <c r="I341" s="45"/>
      <c r="J341" s="57"/>
      <c r="K341" s="43"/>
      <c r="L341" s="45">
        <f>SUM(BC52:BC325)</f>
        <v>0</v>
      </c>
    </row>
    <row r="342" spans="1:12" ht="14.25" hidden="1" x14ac:dyDescent="0.2">
      <c r="A342" s="57"/>
      <c r="B342" s="58"/>
      <c r="C342" s="79" t="s">
        <v>352</v>
      </c>
      <c r="D342" s="79"/>
      <c r="E342" s="79"/>
      <c r="F342" s="79"/>
      <c r="G342" s="79"/>
      <c r="H342" s="79"/>
      <c r="I342" s="45"/>
      <c r="J342" s="57"/>
      <c r="K342" s="43"/>
      <c r="L342" s="45">
        <f>SUM(BB52:BB325)</f>
        <v>0</v>
      </c>
    </row>
    <row r="343" spans="1:12" ht="14.25" x14ac:dyDescent="0.2">
      <c r="A343" s="57"/>
      <c r="B343" s="58"/>
      <c r="C343" s="79" t="s">
        <v>353</v>
      </c>
      <c r="D343" s="79"/>
      <c r="E343" s="79"/>
      <c r="F343" s="79"/>
      <c r="G343" s="79"/>
      <c r="H343" s="79"/>
      <c r="I343" s="45"/>
      <c r="J343" s="57"/>
      <c r="K343" s="43"/>
      <c r="L343" s="45">
        <f>SUM(AR52:AR325)+SUM(AT52:AT325)+SUM(AV52:AV325)</f>
        <v>27262.790000000005</v>
      </c>
    </row>
    <row r="344" spans="1:12" ht="14.25" x14ac:dyDescent="0.2">
      <c r="A344" s="57"/>
      <c r="B344" s="58"/>
      <c r="C344" s="79" t="s">
        <v>354</v>
      </c>
      <c r="D344" s="79"/>
      <c r="E344" s="79"/>
      <c r="F344" s="79"/>
      <c r="G344" s="79"/>
      <c r="H344" s="79"/>
      <c r="I344" s="45"/>
      <c r="J344" s="57"/>
      <c r="K344" s="43"/>
      <c r="L344" s="45">
        <f>SUM(AZ52:AZ325)</f>
        <v>20562.560000000001</v>
      </c>
    </row>
    <row r="345" spans="1:12" ht="14.25" x14ac:dyDescent="0.2">
      <c r="A345" s="57"/>
      <c r="B345" s="58"/>
      <c r="C345" s="79" t="s">
        <v>355</v>
      </c>
      <c r="D345" s="79"/>
      <c r="E345" s="79"/>
      <c r="F345" s="79"/>
      <c r="G345" s="79"/>
      <c r="H345" s="79"/>
      <c r="I345" s="45"/>
      <c r="J345" s="57"/>
      <c r="K345" s="43"/>
      <c r="L345" s="45">
        <f>SUM(BA52:BA325)</f>
        <v>10067.720000000001</v>
      </c>
    </row>
    <row r="346" spans="1:12" ht="14.25" hidden="1" x14ac:dyDescent="0.2">
      <c r="A346" s="57"/>
      <c r="B346" s="58"/>
      <c r="C346" s="79" t="s">
        <v>395</v>
      </c>
      <c r="D346" s="79"/>
      <c r="E346" s="79"/>
      <c r="F346" s="79"/>
      <c r="G346" s="79"/>
      <c r="H346" s="79"/>
      <c r="I346" s="45"/>
      <c r="J346" s="57"/>
      <c r="K346" s="43"/>
      <c r="L346" s="45">
        <f>L348+L349</f>
        <v>0</v>
      </c>
    </row>
    <row r="347" spans="1:12" ht="14.25" hidden="1" x14ac:dyDescent="0.2">
      <c r="A347" s="57"/>
      <c r="B347" s="58"/>
      <c r="C347" s="81" t="s">
        <v>343</v>
      </c>
      <c r="D347" s="79"/>
      <c r="E347" s="79"/>
      <c r="F347" s="79"/>
      <c r="G347" s="79"/>
      <c r="H347" s="79"/>
      <c r="I347" s="45"/>
      <c r="J347" s="57"/>
      <c r="K347" s="43"/>
      <c r="L347" s="45"/>
    </row>
    <row r="348" spans="1:12" ht="14.25" hidden="1" x14ac:dyDescent="0.2">
      <c r="A348" s="57"/>
      <c r="B348" s="58"/>
      <c r="C348" s="79" t="s">
        <v>357</v>
      </c>
      <c r="D348" s="79"/>
      <c r="E348" s="79"/>
      <c r="F348" s="79"/>
      <c r="G348" s="79"/>
      <c r="H348" s="79"/>
      <c r="I348" s="45"/>
      <c r="J348" s="57"/>
      <c r="K348" s="43"/>
      <c r="L348" s="45">
        <f>SUM(BK52:BK325)</f>
        <v>0</v>
      </c>
    </row>
    <row r="349" spans="1:12" ht="14.25" hidden="1" x14ac:dyDescent="0.2">
      <c r="A349" s="57"/>
      <c r="B349" s="58"/>
      <c r="C349" s="79" t="s">
        <v>358</v>
      </c>
      <c r="D349" s="79"/>
      <c r="E349" s="79"/>
      <c r="F349" s="79"/>
      <c r="G349" s="79"/>
      <c r="H349" s="79"/>
      <c r="I349" s="45"/>
      <c r="J349" s="57"/>
      <c r="K349" s="43"/>
      <c r="L349" s="45">
        <f>SUM(BD52:BD325)</f>
        <v>0</v>
      </c>
    </row>
    <row r="350" spans="1:12" ht="14.25" x14ac:dyDescent="0.2">
      <c r="A350" s="57"/>
      <c r="B350" s="58"/>
      <c r="C350" s="79" t="s">
        <v>396</v>
      </c>
      <c r="D350" s="79"/>
      <c r="E350" s="79"/>
      <c r="F350" s="79"/>
      <c r="G350" s="79"/>
      <c r="H350" s="79"/>
      <c r="I350" s="45"/>
      <c r="J350" s="57"/>
      <c r="K350" s="43"/>
      <c r="L350" s="45">
        <f>L301</f>
        <v>53708.360000000008</v>
      </c>
    </row>
    <row r="351" spans="1:12" ht="14.25" x14ac:dyDescent="0.2">
      <c r="A351" s="57"/>
      <c r="B351" s="58"/>
      <c r="C351" s="80" t="s">
        <v>362</v>
      </c>
      <c r="D351" s="79"/>
      <c r="E351" s="79"/>
      <c r="F351" s="79"/>
      <c r="G351" s="79"/>
      <c r="H351" s="79"/>
      <c r="I351" s="45"/>
      <c r="J351" s="57"/>
      <c r="K351" s="43"/>
      <c r="L351" s="45"/>
    </row>
    <row r="352" spans="1:12" ht="14.25" x14ac:dyDescent="0.2">
      <c r="A352" s="57"/>
      <c r="B352" s="58"/>
      <c r="C352" s="79" t="s">
        <v>363</v>
      </c>
      <c r="D352" s="79"/>
      <c r="E352" s="79"/>
      <c r="F352" s="79"/>
      <c r="G352" s="79"/>
      <c r="H352" s="79"/>
      <c r="I352" s="45"/>
      <c r="J352" s="57"/>
      <c r="K352" s="43"/>
      <c r="L352" s="45">
        <f>SUM(AX52:AX325)</f>
        <v>4388.75</v>
      </c>
    </row>
    <row r="353" spans="1:12" ht="14.25" hidden="1" x14ac:dyDescent="0.2">
      <c r="A353" s="57"/>
      <c r="B353" s="58"/>
      <c r="C353" s="79" t="s">
        <v>364</v>
      </c>
      <c r="D353" s="79"/>
      <c r="E353" s="79"/>
      <c r="F353" s="79"/>
      <c r="G353" s="79"/>
      <c r="H353" s="79"/>
      <c r="I353" s="45"/>
      <c r="J353" s="57"/>
      <c r="K353" s="43"/>
      <c r="L353" s="45">
        <f>SUM(AY52:AY325)</f>
        <v>0</v>
      </c>
    </row>
    <row r="354" spans="1:12" ht="14.25" x14ac:dyDescent="0.2">
      <c r="A354" s="57"/>
      <c r="B354" s="58"/>
      <c r="C354" s="79" t="s">
        <v>365</v>
      </c>
      <c r="D354" s="79"/>
      <c r="E354" s="79"/>
      <c r="F354" s="82"/>
      <c r="G354" s="48">
        <f>Source!F160</f>
        <v>39.372160000000001</v>
      </c>
      <c r="H354" s="57"/>
      <c r="I354" s="57"/>
      <c r="J354" s="57"/>
      <c r="K354" s="57"/>
      <c r="L354" s="57"/>
    </row>
    <row r="355" spans="1:12" ht="14.25" x14ac:dyDescent="0.2">
      <c r="A355" s="57"/>
      <c r="B355" s="58"/>
      <c r="C355" s="79" t="s">
        <v>366</v>
      </c>
      <c r="D355" s="79"/>
      <c r="E355" s="79"/>
      <c r="F355" s="82"/>
      <c r="G355" s="48">
        <f>Source!F161</f>
        <v>1.14E-2</v>
      </c>
      <c r="H355" s="57"/>
      <c r="I355" s="57"/>
      <c r="J355" s="57"/>
      <c r="K355" s="57"/>
      <c r="L355" s="57"/>
    </row>
    <row r="357" spans="1:12" ht="15" x14ac:dyDescent="0.2">
      <c r="A357" s="59"/>
      <c r="B357" s="60"/>
      <c r="C357" s="80"/>
      <c r="D357" s="80"/>
      <c r="E357" s="80"/>
      <c r="F357" s="80"/>
      <c r="G357" s="80"/>
      <c r="H357" s="80"/>
      <c r="I357" s="49"/>
      <c r="J357" s="59"/>
      <c r="K357" s="61"/>
      <c r="L357" s="49"/>
    </row>
    <row r="358" spans="1:12" ht="14.25" hidden="1" outlineLevel="1" x14ac:dyDescent="0.2">
      <c r="A358" s="57"/>
      <c r="B358" s="58"/>
      <c r="C358" s="81"/>
      <c r="D358" s="79"/>
      <c r="E358" s="79"/>
      <c r="F358" s="79"/>
      <c r="G358" s="79"/>
      <c r="H358" s="79"/>
      <c r="I358" s="45"/>
      <c r="J358" s="57"/>
      <c r="K358" s="43"/>
      <c r="L358" s="45"/>
    </row>
    <row r="359" spans="1:12" ht="14.25" hidden="1" outlineLevel="1" x14ac:dyDescent="0.2">
      <c r="A359" s="57"/>
      <c r="B359" s="58"/>
      <c r="C359" s="79"/>
      <c r="D359" s="79"/>
      <c r="E359" s="79"/>
      <c r="F359" s="79"/>
      <c r="G359" s="79"/>
      <c r="H359" s="79"/>
      <c r="I359" s="45"/>
      <c r="J359" s="57"/>
      <c r="K359" s="43"/>
      <c r="L359" s="45"/>
    </row>
    <row r="360" spans="1:12" ht="14.25" hidden="1" outlineLevel="1" x14ac:dyDescent="0.2">
      <c r="A360" s="57"/>
      <c r="B360" s="58"/>
      <c r="C360" s="41"/>
      <c r="D360" s="41"/>
      <c r="E360" s="41"/>
      <c r="F360" s="41"/>
      <c r="G360" s="41"/>
      <c r="H360" s="41"/>
      <c r="I360" s="66"/>
      <c r="J360" s="41"/>
      <c r="K360" s="43"/>
      <c r="L360" s="45"/>
    </row>
    <row r="361" spans="1:12" ht="15" collapsed="1" x14ac:dyDescent="0.2">
      <c r="A361" s="59"/>
      <c r="B361" s="60"/>
      <c r="C361" s="80" t="str">
        <f>C327</f>
        <v>ВСЕГО по смете</v>
      </c>
      <c r="D361" s="80"/>
      <c r="E361" s="80"/>
      <c r="F361" s="80"/>
      <c r="G361" s="80"/>
      <c r="H361" s="80"/>
      <c r="I361" s="49"/>
      <c r="J361" s="59"/>
      <c r="K361" s="61"/>
      <c r="L361" s="49">
        <f>L327</f>
        <v>62433.900000000009</v>
      </c>
    </row>
    <row r="362" spans="1:12" s="77" customFormat="1" ht="15" outlineLevel="1" x14ac:dyDescent="0.2">
      <c r="A362" s="59"/>
      <c r="B362" s="60"/>
      <c r="C362" s="56" t="s">
        <v>408</v>
      </c>
      <c r="D362" s="56"/>
      <c r="E362" s="56"/>
      <c r="F362" s="56"/>
      <c r="G362" s="56"/>
      <c r="H362" s="56"/>
      <c r="I362" s="76"/>
      <c r="J362" s="56"/>
      <c r="K362" s="61"/>
      <c r="L362" s="49">
        <f>L361*0.22</f>
        <v>13735.458000000002</v>
      </c>
    </row>
    <row r="363" spans="1:12" ht="15" x14ac:dyDescent="0.2">
      <c r="A363" s="59"/>
      <c r="B363" s="60"/>
      <c r="C363" s="80" t="s">
        <v>403</v>
      </c>
      <c r="D363" s="80"/>
      <c r="E363" s="80"/>
      <c r="F363" s="80"/>
      <c r="G363" s="80"/>
      <c r="H363" s="80"/>
      <c r="I363" s="49"/>
      <c r="J363" s="59"/>
      <c r="K363" s="61"/>
      <c r="L363" s="49">
        <f>L362+L361</f>
        <v>76169.358000000007</v>
      </c>
    </row>
    <row r="364" spans="1:12" ht="14.25" hidden="1" outlineLevel="1" x14ac:dyDescent="0.2">
      <c r="A364" s="57"/>
      <c r="B364" s="58"/>
      <c r="C364" s="81" t="s">
        <v>343</v>
      </c>
      <c r="D364" s="79"/>
      <c r="E364" s="79"/>
      <c r="F364" s="79"/>
      <c r="G364" s="79"/>
      <c r="H364" s="79"/>
      <c r="I364" s="45"/>
      <c r="J364" s="57"/>
      <c r="K364" s="43"/>
      <c r="L364" s="45"/>
    </row>
    <row r="365" spans="1:12" ht="14.25" hidden="1" outlineLevel="1" x14ac:dyDescent="0.2">
      <c r="A365" s="57"/>
      <c r="B365" s="58"/>
      <c r="C365" s="79" t="s">
        <v>397</v>
      </c>
      <c r="D365" s="79"/>
      <c r="E365" s="79"/>
      <c r="F365" s="79"/>
      <c r="G365" s="79"/>
      <c r="H365" s="79"/>
      <c r="I365" s="45"/>
      <c r="J365" s="57"/>
      <c r="K365" s="43"/>
      <c r="L365" s="45"/>
    </row>
    <row r="366" spans="1:12" ht="25.5" hidden="1" outlineLevel="1" x14ac:dyDescent="0.2">
      <c r="A366" s="57"/>
      <c r="B366" s="58" t="s">
        <v>133</v>
      </c>
      <c r="C366" s="41" t="s">
        <v>398</v>
      </c>
      <c r="D366" s="41" t="s">
        <v>271</v>
      </c>
      <c r="E366" s="41">
        <v>20</v>
      </c>
      <c r="F366" s="41"/>
      <c r="G366" s="41"/>
      <c r="H366" s="41"/>
      <c r="I366" s="66"/>
      <c r="J366" s="41"/>
      <c r="K366" s="43"/>
      <c r="L366" s="45">
        <f>SUMIF(CB47:CB332, 200001, BV47:BV332)</f>
        <v>0</v>
      </c>
    </row>
    <row r="367" spans="1:12" collapsed="1" x14ac:dyDescent="0.2"/>
    <row r="369" spans="1:12" ht="14.25" customHeight="1" x14ac:dyDescent="0.2">
      <c r="A369" s="71"/>
      <c r="B369" s="72" t="s">
        <v>399</v>
      </c>
      <c r="C369" s="74" t="s">
        <v>404</v>
      </c>
      <c r="D369" s="31"/>
      <c r="E369" s="31"/>
      <c r="F369" s="31"/>
      <c r="G369" s="31"/>
      <c r="H369" s="73" t="s">
        <v>405</v>
      </c>
      <c r="I369" s="21"/>
      <c r="J369" s="21"/>
      <c r="K369" s="35"/>
      <c r="L369" s="35"/>
    </row>
    <row r="370" spans="1:12" ht="14.25" customHeight="1" x14ac:dyDescent="0.2">
      <c r="A370" s="71"/>
      <c r="B370" s="75"/>
      <c r="C370" s="78" t="s">
        <v>400</v>
      </c>
      <c r="D370" s="78"/>
      <c r="E370" s="78"/>
      <c r="F370" s="78"/>
      <c r="G370" s="78"/>
      <c r="H370" s="21"/>
      <c r="I370" s="21"/>
      <c r="J370" s="21"/>
      <c r="K370" s="35"/>
      <c r="L370" s="35"/>
    </row>
    <row r="371" spans="1:12" ht="14.25" customHeight="1" x14ac:dyDescent="0.2">
      <c r="A371" s="71"/>
      <c r="B371" s="75"/>
      <c r="C371" s="17"/>
      <c r="D371" s="17"/>
      <c r="E371" s="17"/>
      <c r="F371" s="17"/>
      <c r="G371" s="17"/>
      <c r="H371" s="21"/>
      <c r="I371" s="21"/>
      <c r="J371" s="21"/>
      <c r="K371" s="35"/>
      <c r="L371" s="35"/>
    </row>
    <row r="372" spans="1:12" ht="14.25" customHeight="1" x14ac:dyDescent="0.2">
      <c r="A372" s="71"/>
      <c r="B372" s="72" t="s">
        <v>401</v>
      </c>
      <c r="C372" s="74" t="s">
        <v>406</v>
      </c>
      <c r="D372" s="31"/>
      <c r="E372" s="31"/>
      <c r="F372" s="31"/>
      <c r="G372" s="31"/>
      <c r="H372" s="73" t="s">
        <v>407</v>
      </c>
      <c r="I372" s="21"/>
      <c r="J372" s="21"/>
      <c r="K372" s="35"/>
      <c r="L372" s="35"/>
    </row>
    <row r="373" spans="1:12" ht="14.25" customHeight="1" x14ac:dyDescent="0.2">
      <c r="A373" s="17"/>
      <c r="B373" s="17"/>
      <c r="C373" s="78" t="s">
        <v>400</v>
      </c>
      <c r="D373" s="78"/>
      <c r="E373" s="78"/>
      <c r="F373" s="78"/>
      <c r="G373" s="78"/>
      <c r="H373" s="21"/>
      <c r="I373" s="21"/>
      <c r="J373" s="21"/>
      <c r="K373" s="35"/>
      <c r="L373" s="35"/>
    </row>
  </sheetData>
  <mergeCells count="261">
    <mergeCell ref="A2:E2"/>
    <mergeCell ref="F2:L2"/>
    <mergeCell ref="A4:E4"/>
    <mergeCell ref="F4:L4"/>
    <mergeCell ref="A6:E6"/>
    <mergeCell ref="F6:L6"/>
    <mergeCell ref="A14:E14"/>
    <mergeCell ref="F14:L14"/>
    <mergeCell ref="A16:E16"/>
    <mergeCell ref="F16:L16"/>
    <mergeCell ref="A19:L19"/>
    <mergeCell ref="A20:L20"/>
    <mergeCell ref="A8:E8"/>
    <mergeCell ref="F8:L8"/>
    <mergeCell ref="A10:E10"/>
    <mergeCell ref="F10:L10"/>
    <mergeCell ref="A12:E12"/>
    <mergeCell ref="F12:L12"/>
    <mergeCell ref="C34:L34"/>
    <mergeCell ref="C38:D38"/>
    <mergeCell ref="C41:D41"/>
    <mergeCell ref="C42:D42"/>
    <mergeCell ref="C43:D43"/>
    <mergeCell ref="C44:D44"/>
    <mergeCell ref="A22:L22"/>
    <mergeCell ref="A23:L23"/>
    <mergeCell ref="A25:L25"/>
    <mergeCell ref="A27:L27"/>
    <mergeCell ref="A28:L28"/>
    <mergeCell ref="C33:L33"/>
    <mergeCell ref="A53:L53"/>
    <mergeCell ref="C55:L55"/>
    <mergeCell ref="C56:L56"/>
    <mergeCell ref="C77:H77"/>
    <mergeCell ref="I77:J77"/>
    <mergeCell ref="K77:L77"/>
    <mergeCell ref="A46:A50"/>
    <mergeCell ref="B46:B50"/>
    <mergeCell ref="C46:C50"/>
    <mergeCell ref="D46:D50"/>
    <mergeCell ref="E46:G49"/>
    <mergeCell ref="H46:L49"/>
    <mergeCell ref="C85:H85"/>
    <mergeCell ref="C86:H86"/>
    <mergeCell ref="C87:H87"/>
    <mergeCell ref="C88:H88"/>
    <mergeCell ref="C89:H89"/>
    <mergeCell ref="C90:H90"/>
    <mergeCell ref="C79:H79"/>
    <mergeCell ref="C80:H80"/>
    <mergeCell ref="C81:H81"/>
    <mergeCell ref="C82:H82"/>
    <mergeCell ref="C83:H83"/>
    <mergeCell ref="C84:H84"/>
    <mergeCell ref="C97:H97"/>
    <mergeCell ref="C98:H98"/>
    <mergeCell ref="C99:H99"/>
    <mergeCell ref="C100:H100"/>
    <mergeCell ref="C101:H101"/>
    <mergeCell ref="C102:H102"/>
    <mergeCell ref="C91:H91"/>
    <mergeCell ref="C92:H92"/>
    <mergeCell ref="C93:H93"/>
    <mergeCell ref="C94:H94"/>
    <mergeCell ref="C95:H95"/>
    <mergeCell ref="C96:H96"/>
    <mergeCell ref="A110:L110"/>
    <mergeCell ref="C123:H123"/>
    <mergeCell ref="I123:J123"/>
    <mergeCell ref="K123:L123"/>
    <mergeCell ref="C132:H132"/>
    <mergeCell ref="I132:J132"/>
    <mergeCell ref="K132:L132"/>
    <mergeCell ref="C103:H103"/>
    <mergeCell ref="C104:H104"/>
    <mergeCell ref="C105:H105"/>
    <mergeCell ref="C106:H106"/>
    <mergeCell ref="C107:F107"/>
    <mergeCell ref="C108:F108"/>
    <mergeCell ref="C156:H156"/>
    <mergeCell ref="C157:H157"/>
    <mergeCell ref="C158:H158"/>
    <mergeCell ref="C159:H159"/>
    <mergeCell ref="C160:H160"/>
    <mergeCell ref="C161:H161"/>
    <mergeCell ref="C151:H151"/>
    <mergeCell ref="I151:J151"/>
    <mergeCell ref="K151:L151"/>
    <mergeCell ref="C153:H153"/>
    <mergeCell ref="C154:H154"/>
    <mergeCell ref="C155:H155"/>
    <mergeCell ref="C168:H168"/>
    <mergeCell ref="C169:H169"/>
    <mergeCell ref="C170:H170"/>
    <mergeCell ref="C171:H171"/>
    <mergeCell ref="C172:H172"/>
    <mergeCell ref="C173:H173"/>
    <mergeCell ref="C162:H162"/>
    <mergeCell ref="C163:H163"/>
    <mergeCell ref="C164:H164"/>
    <mergeCell ref="C165:H165"/>
    <mergeCell ref="C166:H166"/>
    <mergeCell ref="C167:H167"/>
    <mergeCell ref="C180:H180"/>
    <mergeCell ref="C181:F181"/>
    <mergeCell ref="C182:F182"/>
    <mergeCell ref="A183:L183"/>
    <mergeCell ref="C193:H193"/>
    <mergeCell ref="I193:J193"/>
    <mergeCell ref="K193:L193"/>
    <mergeCell ref="C174:H174"/>
    <mergeCell ref="C175:H175"/>
    <mergeCell ref="C176:H176"/>
    <mergeCell ref="C177:H177"/>
    <mergeCell ref="C178:H178"/>
    <mergeCell ref="C179:H179"/>
    <mergeCell ref="C220:H220"/>
    <mergeCell ref="I220:J220"/>
    <mergeCell ref="K220:L220"/>
    <mergeCell ref="C222:H222"/>
    <mergeCell ref="C223:H223"/>
    <mergeCell ref="C224:H224"/>
    <mergeCell ref="C202:H202"/>
    <mergeCell ref="I202:J202"/>
    <mergeCell ref="K202:L202"/>
    <mergeCell ref="C211:H211"/>
    <mergeCell ref="I211:J211"/>
    <mergeCell ref="K211:L211"/>
    <mergeCell ref="C231:H231"/>
    <mergeCell ref="C232:H232"/>
    <mergeCell ref="C233:H233"/>
    <mergeCell ref="C234:H234"/>
    <mergeCell ref="C235:H235"/>
    <mergeCell ref="C236:H236"/>
    <mergeCell ref="C225:H225"/>
    <mergeCell ref="C226:H226"/>
    <mergeCell ref="C227:H227"/>
    <mergeCell ref="C228:H228"/>
    <mergeCell ref="C229:H229"/>
    <mergeCell ref="C230:H230"/>
    <mergeCell ref="C243:H243"/>
    <mergeCell ref="C244:H244"/>
    <mergeCell ref="C245:H245"/>
    <mergeCell ref="C246:H246"/>
    <mergeCell ref="C247:H247"/>
    <mergeCell ref="C248:H248"/>
    <mergeCell ref="C237:H237"/>
    <mergeCell ref="C238:H238"/>
    <mergeCell ref="C239:H239"/>
    <mergeCell ref="C240:H240"/>
    <mergeCell ref="C241:H241"/>
    <mergeCell ref="C242:H242"/>
    <mergeCell ref="C258:H258"/>
    <mergeCell ref="C259:H259"/>
    <mergeCell ref="C260:H260"/>
    <mergeCell ref="C261:H261"/>
    <mergeCell ref="C262:H262"/>
    <mergeCell ref="C263:H263"/>
    <mergeCell ref="C249:H249"/>
    <mergeCell ref="C250:F250"/>
    <mergeCell ref="C251:F251"/>
    <mergeCell ref="C254:H254"/>
    <mergeCell ref="C256:H256"/>
    <mergeCell ref="C257:H257"/>
    <mergeCell ref="C270:H270"/>
    <mergeCell ref="C271:H271"/>
    <mergeCell ref="C272:H272"/>
    <mergeCell ref="C273:H273"/>
    <mergeCell ref="C274:H274"/>
    <mergeCell ref="C276:H276"/>
    <mergeCell ref="C264:H264"/>
    <mergeCell ref="C265:H265"/>
    <mergeCell ref="C266:H266"/>
    <mergeCell ref="C267:H267"/>
    <mergeCell ref="C268:H268"/>
    <mergeCell ref="C269:H269"/>
    <mergeCell ref="C283:H283"/>
    <mergeCell ref="C284:H284"/>
    <mergeCell ref="C285:H285"/>
    <mergeCell ref="C286:H286"/>
    <mergeCell ref="C287:H287"/>
    <mergeCell ref="C288:H288"/>
    <mergeCell ref="C277:H277"/>
    <mergeCell ref="C278:H278"/>
    <mergeCell ref="C279:H279"/>
    <mergeCell ref="C280:H280"/>
    <mergeCell ref="C281:H281"/>
    <mergeCell ref="C282:H282"/>
    <mergeCell ref="C296:H296"/>
    <mergeCell ref="C297:H297"/>
    <mergeCell ref="C298:H298"/>
    <mergeCell ref="C299:H299"/>
    <mergeCell ref="C301:H301"/>
    <mergeCell ref="C302:H302"/>
    <mergeCell ref="C289:H289"/>
    <mergeCell ref="C290:H290"/>
    <mergeCell ref="C291:H291"/>
    <mergeCell ref="C292:H292"/>
    <mergeCell ref="C293:H293"/>
    <mergeCell ref="C294:H294"/>
    <mergeCell ref="C309:H309"/>
    <mergeCell ref="C310:H310"/>
    <mergeCell ref="C311:H311"/>
    <mergeCell ref="C312:H312"/>
    <mergeCell ref="C313:H313"/>
    <mergeCell ref="C314:H314"/>
    <mergeCell ref="C303:H303"/>
    <mergeCell ref="C304:H304"/>
    <mergeCell ref="C305:H305"/>
    <mergeCell ref="C306:H306"/>
    <mergeCell ref="C307:H307"/>
    <mergeCell ref="C308:H308"/>
    <mergeCell ref="C321:H321"/>
    <mergeCell ref="C322:H322"/>
    <mergeCell ref="C323:H323"/>
    <mergeCell ref="C324:H324"/>
    <mergeCell ref="C325:H325"/>
    <mergeCell ref="C327:H327"/>
    <mergeCell ref="C315:H315"/>
    <mergeCell ref="C316:H316"/>
    <mergeCell ref="C317:H317"/>
    <mergeCell ref="C318:H318"/>
    <mergeCell ref="C319:H319"/>
    <mergeCell ref="C320:H320"/>
    <mergeCell ref="C334:H334"/>
    <mergeCell ref="C335:H335"/>
    <mergeCell ref="C336:H336"/>
    <mergeCell ref="C337:H337"/>
    <mergeCell ref="C338:H338"/>
    <mergeCell ref="C339:H339"/>
    <mergeCell ref="C328:H328"/>
    <mergeCell ref="C329:H329"/>
    <mergeCell ref="C330:H330"/>
    <mergeCell ref="C331:H331"/>
    <mergeCell ref="C332:H332"/>
    <mergeCell ref="C333:H333"/>
    <mergeCell ref="C346:H346"/>
    <mergeCell ref="C347:H347"/>
    <mergeCell ref="C348:H348"/>
    <mergeCell ref="C349:H349"/>
    <mergeCell ref="C350:H350"/>
    <mergeCell ref="C351:H351"/>
    <mergeCell ref="C340:H340"/>
    <mergeCell ref="C341:H341"/>
    <mergeCell ref="C342:H342"/>
    <mergeCell ref="C343:H343"/>
    <mergeCell ref="C344:H344"/>
    <mergeCell ref="C345:H345"/>
    <mergeCell ref="C370:G370"/>
    <mergeCell ref="C373:G373"/>
    <mergeCell ref="C359:H359"/>
    <mergeCell ref="C361:H361"/>
    <mergeCell ref="C363:H363"/>
    <mergeCell ref="C364:H364"/>
    <mergeCell ref="C365:H365"/>
    <mergeCell ref="C352:H352"/>
    <mergeCell ref="C353:H353"/>
    <mergeCell ref="C354:F354"/>
    <mergeCell ref="C355:F355"/>
    <mergeCell ref="C357:H357"/>
    <mergeCell ref="C358:H358"/>
  </mergeCells>
  <pageMargins left="0.4" right="0.2" top="0.2" bottom="0.4" header="0.2" footer="0.2"/>
  <pageSetup paperSize="9" scale="69" fitToHeight="0" orientation="landscape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238"/>
  <sheetViews>
    <sheetView workbookViewId="0">
      <selection activeCell="G13" sqref="G13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72598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33" x14ac:dyDescent="0.2">
      <c r="A12" s="1">
        <v>1</v>
      </c>
      <c r="B12" s="1">
        <v>232</v>
      </c>
      <c r="C12" s="1">
        <v>0</v>
      </c>
      <c r="D12" s="1">
        <f>ROW(A168)</f>
        <v>168</v>
      </c>
      <c r="E12" s="1">
        <v>0</v>
      </c>
      <c r="F12" s="1" t="s">
        <v>4</v>
      </c>
      <c r="G12" s="1" t="s">
        <v>402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17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46073</v>
      </c>
      <c r="CT12" s="1">
        <v>540</v>
      </c>
      <c r="CU12" s="1">
        <v>17</v>
      </c>
      <c r="CV12" s="1" t="s">
        <v>278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 x14ac:dyDescent="0.2">
      <c r="A18" s="2">
        <v>52</v>
      </c>
      <c r="B18" s="2">
        <f t="shared" ref="B18:G18" si="0">B168</f>
        <v>232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>Новый объект</v>
      </c>
      <c r="G18" s="2" t="str">
        <f t="shared" si="0"/>
        <v>Ремонт поврежденного КЛ-10 кВ в ячейке РУ-10 кВ ТП 1515 в направлении Тп-480 по адресу:М.О.г.Домодедово,мкр.Западный,Каширское шоссе</v>
      </c>
      <c r="H18" s="2"/>
      <c r="I18" s="2"/>
      <c r="J18" s="2"/>
      <c r="K18" s="2"/>
      <c r="L18" s="2"/>
      <c r="M18" s="2"/>
      <c r="N18" s="2"/>
      <c r="O18" s="2">
        <f t="shared" ref="O18:AT18" si="1">O168</f>
        <v>31803.62</v>
      </c>
      <c r="P18" s="2">
        <f t="shared" si="1"/>
        <v>4523.67</v>
      </c>
      <c r="Q18" s="2">
        <f t="shared" si="1"/>
        <v>17.16</v>
      </c>
      <c r="R18" s="2">
        <f t="shared" si="1"/>
        <v>7.2</v>
      </c>
      <c r="S18" s="2">
        <f t="shared" si="1"/>
        <v>27255.59</v>
      </c>
      <c r="T18" s="2">
        <f t="shared" si="1"/>
        <v>0</v>
      </c>
      <c r="U18" s="2">
        <f t="shared" si="1"/>
        <v>39.372160000000001</v>
      </c>
      <c r="V18" s="2">
        <f t="shared" si="1"/>
        <v>1.14E-2</v>
      </c>
      <c r="W18" s="2">
        <f t="shared" si="1"/>
        <v>0</v>
      </c>
      <c r="X18" s="2">
        <f t="shared" si="1"/>
        <v>20562.560000000001</v>
      </c>
      <c r="Y18" s="2">
        <f t="shared" si="1"/>
        <v>10067.719999999999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0</v>
      </c>
      <c r="AP18" s="2">
        <f t="shared" si="1"/>
        <v>0</v>
      </c>
      <c r="AQ18" s="2">
        <f t="shared" si="1"/>
        <v>0</v>
      </c>
      <c r="AR18" s="2">
        <f t="shared" si="1"/>
        <v>62433.9</v>
      </c>
      <c r="AS18" s="2">
        <f t="shared" si="1"/>
        <v>0</v>
      </c>
      <c r="AT18" s="2">
        <f t="shared" si="1"/>
        <v>8725.5400000000009</v>
      </c>
      <c r="AU18" s="2">
        <f t="shared" ref="AU18:BZ18" si="2">AU168</f>
        <v>53708.36</v>
      </c>
      <c r="AV18" s="2">
        <f t="shared" si="2"/>
        <v>4523.67</v>
      </c>
      <c r="AW18" s="2">
        <f t="shared" si="2"/>
        <v>4523.67</v>
      </c>
      <c r="AX18" s="2">
        <f t="shared" si="2"/>
        <v>0</v>
      </c>
      <c r="AY18" s="2">
        <f t="shared" si="2"/>
        <v>4523.67</v>
      </c>
      <c r="AZ18" s="2">
        <f t="shared" si="2"/>
        <v>0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0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CA168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DG168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EM168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FS168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45" x14ac:dyDescent="0.2">
      <c r="A20" s="1">
        <v>3</v>
      </c>
      <c r="B20" s="1">
        <v>1</v>
      </c>
      <c r="C20" s="1"/>
      <c r="D20" s="1">
        <f>ROW(A138)</f>
        <v>138</v>
      </c>
      <c r="E20" s="1"/>
      <c r="F20" s="1" t="s">
        <v>14</v>
      </c>
      <c r="G20" s="1" t="s">
        <v>14</v>
      </c>
      <c r="H20" s="1" t="s">
        <v>3</v>
      </c>
      <c r="I20" s="1">
        <v>0</v>
      </c>
      <c r="J20" s="1" t="s">
        <v>3</v>
      </c>
      <c r="K20" s="1">
        <v>0</v>
      </c>
      <c r="L20" s="1" t="s">
        <v>14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45" x14ac:dyDescent="0.2">
      <c r="A22" s="2">
        <v>52</v>
      </c>
      <c r="B22" s="2">
        <f t="shared" ref="B22:G22" si="7">B138</f>
        <v>1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>Новая локальная смета</v>
      </c>
      <c r="G22" s="2" t="str">
        <f t="shared" si="7"/>
        <v>Новая локальная смета</v>
      </c>
      <c r="H22" s="2"/>
      <c r="I22" s="2"/>
      <c r="J22" s="2"/>
      <c r="K22" s="2"/>
      <c r="L22" s="2"/>
      <c r="M22" s="2"/>
      <c r="N22" s="2"/>
      <c r="O22" s="2">
        <f t="shared" ref="O22:AT22" si="8">O138</f>
        <v>31803.62</v>
      </c>
      <c r="P22" s="2">
        <f t="shared" si="8"/>
        <v>4523.67</v>
      </c>
      <c r="Q22" s="2">
        <f t="shared" si="8"/>
        <v>17.16</v>
      </c>
      <c r="R22" s="2">
        <f t="shared" si="8"/>
        <v>7.2</v>
      </c>
      <c r="S22" s="2">
        <f t="shared" si="8"/>
        <v>27255.59</v>
      </c>
      <c r="T22" s="2">
        <f t="shared" si="8"/>
        <v>0</v>
      </c>
      <c r="U22" s="2">
        <f t="shared" si="8"/>
        <v>39.372160000000001</v>
      </c>
      <c r="V22" s="2">
        <f t="shared" si="8"/>
        <v>1.14E-2</v>
      </c>
      <c r="W22" s="2">
        <f t="shared" si="8"/>
        <v>0</v>
      </c>
      <c r="X22" s="2">
        <f t="shared" si="8"/>
        <v>20562.560000000001</v>
      </c>
      <c r="Y22" s="2">
        <f t="shared" si="8"/>
        <v>10067.719999999999</v>
      </c>
      <c r="Z22" s="2">
        <f t="shared" si="8"/>
        <v>0</v>
      </c>
      <c r="AA22" s="2">
        <f t="shared" si="8"/>
        <v>0</v>
      </c>
      <c r="AB22" s="2">
        <f t="shared" si="8"/>
        <v>0</v>
      </c>
      <c r="AC22" s="2">
        <f t="shared" si="8"/>
        <v>0</v>
      </c>
      <c r="AD22" s="2">
        <f t="shared" si="8"/>
        <v>0</v>
      </c>
      <c r="AE22" s="2">
        <f t="shared" si="8"/>
        <v>0</v>
      </c>
      <c r="AF22" s="2">
        <f t="shared" si="8"/>
        <v>0</v>
      </c>
      <c r="AG22" s="2">
        <f t="shared" si="8"/>
        <v>0</v>
      </c>
      <c r="AH22" s="2">
        <f t="shared" si="8"/>
        <v>0</v>
      </c>
      <c r="AI22" s="2">
        <f t="shared" si="8"/>
        <v>0</v>
      </c>
      <c r="AJ22" s="2">
        <f t="shared" si="8"/>
        <v>0</v>
      </c>
      <c r="AK22" s="2">
        <f t="shared" si="8"/>
        <v>0</v>
      </c>
      <c r="AL22" s="2">
        <f t="shared" si="8"/>
        <v>0</v>
      </c>
      <c r="AM22" s="2">
        <f t="shared" si="8"/>
        <v>0</v>
      </c>
      <c r="AN22" s="2">
        <f t="shared" si="8"/>
        <v>0</v>
      </c>
      <c r="AO22" s="2">
        <f t="shared" si="8"/>
        <v>0</v>
      </c>
      <c r="AP22" s="2">
        <f t="shared" si="8"/>
        <v>0</v>
      </c>
      <c r="AQ22" s="2">
        <f t="shared" si="8"/>
        <v>0</v>
      </c>
      <c r="AR22" s="2">
        <f t="shared" si="8"/>
        <v>62433.9</v>
      </c>
      <c r="AS22" s="2">
        <f t="shared" si="8"/>
        <v>0</v>
      </c>
      <c r="AT22" s="2">
        <f t="shared" si="8"/>
        <v>8725.5400000000009</v>
      </c>
      <c r="AU22" s="2">
        <f t="shared" ref="AU22:BZ22" si="9">AU138</f>
        <v>53708.36</v>
      </c>
      <c r="AV22" s="2">
        <f t="shared" si="9"/>
        <v>4523.67</v>
      </c>
      <c r="AW22" s="2">
        <f t="shared" si="9"/>
        <v>4523.67</v>
      </c>
      <c r="AX22" s="2">
        <f t="shared" si="9"/>
        <v>0</v>
      </c>
      <c r="AY22" s="2">
        <f t="shared" si="9"/>
        <v>4523.67</v>
      </c>
      <c r="AZ22" s="2">
        <f t="shared" si="9"/>
        <v>0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0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CA138</f>
        <v>0</v>
      </c>
      <c r="CB22" s="2">
        <f t="shared" si="10"/>
        <v>0</v>
      </c>
      <c r="CC22" s="2">
        <f t="shared" si="10"/>
        <v>0</v>
      </c>
      <c r="CD22" s="2">
        <f t="shared" si="10"/>
        <v>0</v>
      </c>
      <c r="CE22" s="2">
        <f t="shared" si="10"/>
        <v>0</v>
      </c>
      <c r="CF22" s="2">
        <f t="shared" si="10"/>
        <v>0</v>
      </c>
      <c r="CG22" s="2">
        <f t="shared" si="10"/>
        <v>0</v>
      </c>
      <c r="CH22" s="2">
        <f t="shared" si="10"/>
        <v>0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0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DG138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EM138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FS138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45" x14ac:dyDescent="0.2">
      <c r="A24" s="1">
        <v>4</v>
      </c>
      <c r="B24" s="1">
        <v>1</v>
      </c>
      <c r="C24" s="1"/>
      <c r="D24" s="1">
        <f>ROW(A30)</f>
        <v>30</v>
      </c>
      <c r="E24" s="1"/>
      <c r="F24" s="1" t="s">
        <v>15</v>
      </c>
      <c r="G24" s="1" t="s">
        <v>16</v>
      </c>
      <c r="H24" s="1" t="s">
        <v>3</v>
      </c>
      <c r="I24" s="1">
        <v>0</v>
      </c>
      <c r="J24" s="1"/>
      <c r="K24" s="1">
        <v>0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45" x14ac:dyDescent="0.2">
      <c r="A26" s="2">
        <v>52</v>
      </c>
      <c r="B26" s="2">
        <f t="shared" ref="B26:G26" si="14">B30</f>
        <v>1</v>
      </c>
      <c r="C26" s="2">
        <f t="shared" si="14"/>
        <v>4</v>
      </c>
      <c r="D26" s="2">
        <f t="shared" si="14"/>
        <v>24</v>
      </c>
      <c r="E26" s="2">
        <f t="shared" si="14"/>
        <v>0</v>
      </c>
      <c r="F26" s="2" t="str">
        <f t="shared" si="14"/>
        <v>Новый раздел</v>
      </c>
      <c r="G26" s="2" t="str">
        <f t="shared" si="14"/>
        <v>Ремонт КЛ-10 кВ</v>
      </c>
      <c r="H26" s="2"/>
      <c r="I26" s="2"/>
      <c r="J26" s="2"/>
      <c r="K26" s="2"/>
      <c r="L26" s="2"/>
      <c r="M26" s="2"/>
      <c r="N26" s="2"/>
      <c r="O26" s="2">
        <f t="shared" ref="O26:AT26" si="15">O30</f>
        <v>457.01</v>
      </c>
      <c r="P26" s="2">
        <f t="shared" si="15"/>
        <v>10.91</v>
      </c>
      <c r="Q26" s="2">
        <f t="shared" si="15"/>
        <v>16.48</v>
      </c>
      <c r="R26" s="2">
        <f t="shared" si="15"/>
        <v>6.82</v>
      </c>
      <c r="S26" s="2">
        <f t="shared" si="15"/>
        <v>422.8</v>
      </c>
      <c r="T26" s="2">
        <f t="shared" si="15"/>
        <v>0</v>
      </c>
      <c r="U26" s="2">
        <f t="shared" si="15"/>
        <v>0.80135999999999996</v>
      </c>
      <c r="V26" s="2">
        <f t="shared" si="15"/>
        <v>1.0800000000000001E-2</v>
      </c>
      <c r="W26" s="2">
        <f t="shared" si="15"/>
        <v>0</v>
      </c>
      <c r="X26" s="2">
        <f t="shared" si="15"/>
        <v>416.73</v>
      </c>
      <c r="Y26" s="2">
        <f t="shared" si="15"/>
        <v>219.11</v>
      </c>
      <c r="Z26" s="2">
        <f t="shared" si="15"/>
        <v>0</v>
      </c>
      <c r="AA26" s="2">
        <f t="shared" si="15"/>
        <v>0</v>
      </c>
      <c r="AB26" s="2">
        <f t="shared" si="15"/>
        <v>457.01</v>
      </c>
      <c r="AC26" s="2">
        <f t="shared" si="15"/>
        <v>10.91</v>
      </c>
      <c r="AD26" s="2">
        <f t="shared" si="15"/>
        <v>16.48</v>
      </c>
      <c r="AE26" s="2">
        <f t="shared" si="15"/>
        <v>6.82</v>
      </c>
      <c r="AF26" s="2">
        <f t="shared" si="15"/>
        <v>422.8</v>
      </c>
      <c r="AG26" s="2">
        <f t="shared" si="15"/>
        <v>0</v>
      </c>
      <c r="AH26" s="2">
        <f t="shared" si="15"/>
        <v>0.80135999999999996</v>
      </c>
      <c r="AI26" s="2">
        <f t="shared" si="15"/>
        <v>1.0800000000000001E-2</v>
      </c>
      <c r="AJ26" s="2">
        <f t="shared" si="15"/>
        <v>0</v>
      </c>
      <c r="AK26" s="2">
        <f t="shared" si="15"/>
        <v>416.73</v>
      </c>
      <c r="AL26" s="2">
        <f t="shared" si="15"/>
        <v>219.11</v>
      </c>
      <c r="AM26" s="2">
        <f t="shared" si="15"/>
        <v>0</v>
      </c>
      <c r="AN26" s="2">
        <f t="shared" si="15"/>
        <v>0</v>
      </c>
      <c r="AO26" s="2">
        <f t="shared" si="15"/>
        <v>0</v>
      </c>
      <c r="AP26" s="2">
        <f t="shared" si="15"/>
        <v>0</v>
      </c>
      <c r="AQ26" s="2">
        <f t="shared" si="15"/>
        <v>0</v>
      </c>
      <c r="AR26" s="2">
        <f t="shared" si="15"/>
        <v>1092.8499999999999</v>
      </c>
      <c r="AS26" s="2">
        <f t="shared" si="15"/>
        <v>0</v>
      </c>
      <c r="AT26" s="2">
        <f t="shared" si="15"/>
        <v>1092.8499999999999</v>
      </c>
      <c r="AU26" s="2">
        <f t="shared" ref="AU26:BZ26" si="16">AU30</f>
        <v>0</v>
      </c>
      <c r="AV26" s="2">
        <f t="shared" si="16"/>
        <v>10.91</v>
      </c>
      <c r="AW26" s="2">
        <f t="shared" si="16"/>
        <v>10.91</v>
      </c>
      <c r="AX26" s="2">
        <f t="shared" si="16"/>
        <v>0</v>
      </c>
      <c r="AY26" s="2">
        <f t="shared" si="16"/>
        <v>10.91</v>
      </c>
      <c r="AZ26" s="2">
        <f t="shared" si="16"/>
        <v>0</v>
      </c>
      <c r="BA26" s="2">
        <f t="shared" si="16"/>
        <v>0</v>
      </c>
      <c r="BB26" s="2">
        <f t="shared" si="16"/>
        <v>0</v>
      </c>
      <c r="BC26" s="2">
        <f t="shared" si="16"/>
        <v>0</v>
      </c>
      <c r="BD26" s="2">
        <f t="shared" si="16"/>
        <v>0</v>
      </c>
      <c r="BE26" s="2">
        <f t="shared" si="16"/>
        <v>0</v>
      </c>
      <c r="BF26" s="2">
        <f t="shared" si="16"/>
        <v>0</v>
      </c>
      <c r="BG26" s="2">
        <f t="shared" si="16"/>
        <v>0</v>
      </c>
      <c r="BH26" s="2">
        <f t="shared" si="16"/>
        <v>0</v>
      </c>
      <c r="BI26" s="2">
        <f t="shared" si="16"/>
        <v>0</v>
      </c>
      <c r="BJ26" s="2">
        <f t="shared" si="16"/>
        <v>0</v>
      </c>
      <c r="BK26" s="2">
        <f t="shared" si="16"/>
        <v>0</v>
      </c>
      <c r="BL26" s="2">
        <f t="shared" si="16"/>
        <v>0</v>
      </c>
      <c r="BM26" s="2">
        <f t="shared" si="16"/>
        <v>0</v>
      </c>
      <c r="BN26" s="2">
        <f t="shared" si="16"/>
        <v>0</v>
      </c>
      <c r="BO26" s="2">
        <f t="shared" si="16"/>
        <v>0</v>
      </c>
      <c r="BP26" s="2">
        <f t="shared" si="16"/>
        <v>0</v>
      </c>
      <c r="BQ26" s="2">
        <f t="shared" si="16"/>
        <v>0</v>
      </c>
      <c r="BR26" s="2">
        <f t="shared" si="16"/>
        <v>0</v>
      </c>
      <c r="BS26" s="2">
        <f t="shared" si="16"/>
        <v>0</v>
      </c>
      <c r="BT26" s="2">
        <f t="shared" si="16"/>
        <v>0</v>
      </c>
      <c r="BU26" s="2">
        <f t="shared" si="16"/>
        <v>0</v>
      </c>
      <c r="BV26" s="2">
        <f t="shared" si="16"/>
        <v>0</v>
      </c>
      <c r="BW26" s="2">
        <f t="shared" si="16"/>
        <v>0</v>
      </c>
      <c r="BX26" s="2">
        <f t="shared" si="16"/>
        <v>0</v>
      </c>
      <c r="BY26" s="2">
        <f t="shared" si="16"/>
        <v>0</v>
      </c>
      <c r="BZ26" s="2">
        <f t="shared" si="16"/>
        <v>0</v>
      </c>
      <c r="CA26" s="2">
        <f t="shared" ref="CA26:DF26" si="17">CA30</f>
        <v>1092.8499999999999</v>
      </c>
      <c r="CB26" s="2">
        <f t="shared" si="17"/>
        <v>0</v>
      </c>
      <c r="CC26" s="2">
        <f t="shared" si="17"/>
        <v>1092.8499999999999</v>
      </c>
      <c r="CD26" s="2">
        <f t="shared" si="17"/>
        <v>0</v>
      </c>
      <c r="CE26" s="2">
        <f t="shared" si="17"/>
        <v>10.91</v>
      </c>
      <c r="CF26" s="2">
        <f t="shared" si="17"/>
        <v>10.91</v>
      </c>
      <c r="CG26" s="2">
        <f t="shared" si="17"/>
        <v>0</v>
      </c>
      <c r="CH26" s="2">
        <f t="shared" si="17"/>
        <v>10.91</v>
      </c>
      <c r="CI26" s="2">
        <f t="shared" si="17"/>
        <v>0</v>
      </c>
      <c r="CJ26" s="2">
        <f t="shared" si="17"/>
        <v>0</v>
      </c>
      <c r="CK26" s="2">
        <f t="shared" si="17"/>
        <v>0</v>
      </c>
      <c r="CL26" s="2">
        <f t="shared" si="17"/>
        <v>0</v>
      </c>
      <c r="CM26" s="2">
        <f t="shared" si="17"/>
        <v>0</v>
      </c>
      <c r="CN26" s="2">
        <f t="shared" si="17"/>
        <v>0</v>
      </c>
      <c r="CO26" s="2">
        <f t="shared" si="17"/>
        <v>0</v>
      </c>
      <c r="CP26" s="2">
        <f t="shared" si="17"/>
        <v>0</v>
      </c>
      <c r="CQ26" s="2">
        <f t="shared" si="17"/>
        <v>0</v>
      </c>
      <c r="CR26" s="2">
        <f t="shared" si="17"/>
        <v>0</v>
      </c>
      <c r="CS26" s="2">
        <f t="shared" si="17"/>
        <v>0</v>
      </c>
      <c r="CT26" s="2">
        <f t="shared" si="17"/>
        <v>0</v>
      </c>
      <c r="CU26" s="2">
        <f t="shared" si="17"/>
        <v>0</v>
      </c>
      <c r="CV26" s="2">
        <f t="shared" si="17"/>
        <v>0</v>
      </c>
      <c r="CW26" s="2">
        <f t="shared" si="17"/>
        <v>0</v>
      </c>
      <c r="CX26" s="2">
        <f t="shared" si="17"/>
        <v>0</v>
      </c>
      <c r="CY26" s="2">
        <f t="shared" si="17"/>
        <v>0</v>
      </c>
      <c r="CZ26" s="2">
        <f t="shared" si="17"/>
        <v>0</v>
      </c>
      <c r="DA26" s="2">
        <f t="shared" si="17"/>
        <v>0</v>
      </c>
      <c r="DB26" s="2">
        <f t="shared" si="17"/>
        <v>0</v>
      </c>
      <c r="DC26" s="2">
        <f t="shared" si="17"/>
        <v>0</v>
      </c>
      <c r="DD26" s="2">
        <f t="shared" si="17"/>
        <v>0</v>
      </c>
      <c r="DE26" s="2">
        <f t="shared" si="17"/>
        <v>0</v>
      </c>
      <c r="DF26" s="2">
        <f t="shared" si="17"/>
        <v>0</v>
      </c>
      <c r="DG26" s="3">
        <f t="shared" ref="DG26:EL26" si="18">DG30</f>
        <v>0</v>
      </c>
      <c r="DH26" s="3">
        <f t="shared" si="18"/>
        <v>0</v>
      </c>
      <c r="DI26" s="3">
        <f t="shared" si="18"/>
        <v>0</v>
      </c>
      <c r="DJ26" s="3">
        <f t="shared" si="18"/>
        <v>0</v>
      </c>
      <c r="DK26" s="3">
        <f t="shared" si="18"/>
        <v>0</v>
      </c>
      <c r="DL26" s="3">
        <f t="shared" si="18"/>
        <v>0</v>
      </c>
      <c r="DM26" s="3">
        <f t="shared" si="18"/>
        <v>0</v>
      </c>
      <c r="DN26" s="3">
        <f t="shared" si="18"/>
        <v>0</v>
      </c>
      <c r="DO26" s="3">
        <f t="shared" si="18"/>
        <v>0</v>
      </c>
      <c r="DP26" s="3">
        <f t="shared" si="18"/>
        <v>0</v>
      </c>
      <c r="DQ26" s="3">
        <f t="shared" si="18"/>
        <v>0</v>
      </c>
      <c r="DR26" s="3">
        <f t="shared" si="18"/>
        <v>0</v>
      </c>
      <c r="DS26" s="3">
        <f t="shared" si="18"/>
        <v>0</v>
      </c>
      <c r="DT26" s="3">
        <f t="shared" si="18"/>
        <v>0</v>
      </c>
      <c r="DU26" s="3">
        <f t="shared" si="18"/>
        <v>0</v>
      </c>
      <c r="DV26" s="3">
        <f t="shared" si="18"/>
        <v>0</v>
      </c>
      <c r="DW26" s="3">
        <f t="shared" si="18"/>
        <v>0</v>
      </c>
      <c r="DX26" s="3">
        <f t="shared" si="18"/>
        <v>0</v>
      </c>
      <c r="DY26" s="3">
        <f t="shared" si="18"/>
        <v>0</v>
      </c>
      <c r="DZ26" s="3">
        <f t="shared" si="18"/>
        <v>0</v>
      </c>
      <c r="EA26" s="3">
        <f t="shared" si="18"/>
        <v>0</v>
      </c>
      <c r="EB26" s="3">
        <f t="shared" si="18"/>
        <v>0</v>
      </c>
      <c r="EC26" s="3">
        <f t="shared" si="18"/>
        <v>0</v>
      </c>
      <c r="ED26" s="3">
        <f t="shared" si="18"/>
        <v>0</v>
      </c>
      <c r="EE26" s="3">
        <f t="shared" si="18"/>
        <v>0</v>
      </c>
      <c r="EF26" s="3">
        <f t="shared" si="18"/>
        <v>0</v>
      </c>
      <c r="EG26" s="3">
        <f t="shared" si="18"/>
        <v>0</v>
      </c>
      <c r="EH26" s="3">
        <f t="shared" si="18"/>
        <v>0</v>
      </c>
      <c r="EI26" s="3">
        <f t="shared" si="18"/>
        <v>0</v>
      </c>
      <c r="EJ26" s="3">
        <f t="shared" si="18"/>
        <v>0</v>
      </c>
      <c r="EK26" s="3">
        <f t="shared" si="18"/>
        <v>0</v>
      </c>
      <c r="EL26" s="3">
        <f t="shared" si="18"/>
        <v>0</v>
      </c>
      <c r="EM26" s="3">
        <f t="shared" ref="EM26:FR26" si="19">EM30</f>
        <v>0</v>
      </c>
      <c r="EN26" s="3">
        <f t="shared" si="19"/>
        <v>0</v>
      </c>
      <c r="EO26" s="3">
        <f t="shared" si="19"/>
        <v>0</v>
      </c>
      <c r="EP26" s="3">
        <f t="shared" si="19"/>
        <v>0</v>
      </c>
      <c r="EQ26" s="3">
        <f t="shared" si="19"/>
        <v>0</v>
      </c>
      <c r="ER26" s="3">
        <f t="shared" si="19"/>
        <v>0</v>
      </c>
      <c r="ES26" s="3">
        <f t="shared" si="19"/>
        <v>0</v>
      </c>
      <c r="ET26" s="3">
        <f t="shared" si="19"/>
        <v>0</v>
      </c>
      <c r="EU26" s="3">
        <f t="shared" si="19"/>
        <v>0</v>
      </c>
      <c r="EV26" s="3">
        <f t="shared" si="19"/>
        <v>0</v>
      </c>
      <c r="EW26" s="3">
        <f t="shared" si="19"/>
        <v>0</v>
      </c>
      <c r="EX26" s="3">
        <f t="shared" si="19"/>
        <v>0</v>
      </c>
      <c r="EY26" s="3">
        <f t="shared" si="19"/>
        <v>0</v>
      </c>
      <c r="EZ26" s="3">
        <f t="shared" si="19"/>
        <v>0</v>
      </c>
      <c r="FA26" s="3">
        <f t="shared" si="19"/>
        <v>0</v>
      </c>
      <c r="FB26" s="3">
        <f t="shared" si="19"/>
        <v>0</v>
      </c>
      <c r="FC26" s="3">
        <f t="shared" si="19"/>
        <v>0</v>
      </c>
      <c r="FD26" s="3">
        <f t="shared" si="19"/>
        <v>0</v>
      </c>
      <c r="FE26" s="3">
        <f t="shared" si="19"/>
        <v>0</v>
      </c>
      <c r="FF26" s="3">
        <f t="shared" si="19"/>
        <v>0</v>
      </c>
      <c r="FG26" s="3">
        <f t="shared" si="19"/>
        <v>0</v>
      </c>
      <c r="FH26" s="3">
        <f t="shared" si="19"/>
        <v>0</v>
      </c>
      <c r="FI26" s="3">
        <f t="shared" si="19"/>
        <v>0</v>
      </c>
      <c r="FJ26" s="3">
        <f t="shared" si="19"/>
        <v>0</v>
      </c>
      <c r="FK26" s="3">
        <f t="shared" si="19"/>
        <v>0</v>
      </c>
      <c r="FL26" s="3">
        <f t="shared" si="19"/>
        <v>0</v>
      </c>
      <c r="FM26" s="3">
        <f t="shared" si="19"/>
        <v>0</v>
      </c>
      <c r="FN26" s="3">
        <f t="shared" si="19"/>
        <v>0</v>
      </c>
      <c r="FO26" s="3">
        <f t="shared" si="19"/>
        <v>0</v>
      </c>
      <c r="FP26" s="3">
        <f t="shared" si="19"/>
        <v>0</v>
      </c>
      <c r="FQ26" s="3">
        <f t="shared" si="19"/>
        <v>0</v>
      </c>
      <c r="FR26" s="3">
        <f t="shared" si="19"/>
        <v>0</v>
      </c>
      <c r="FS26" s="3">
        <f t="shared" ref="FS26:GX26" si="20">FS30</f>
        <v>0</v>
      </c>
      <c r="FT26" s="3">
        <f t="shared" si="20"/>
        <v>0</v>
      </c>
      <c r="FU26" s="3">
        <f t="shared" si="20"/>
        <v>0</v>
      </c>
      <c r="FV26" s="3">
        <f t="shared" si="20"/>
        <v>0</v>
      </c>
      <c r="FW26" s="3">
        <f t="shared" si="20"/>
        <v>0</v>
      </c>
      <c r="FX26" s="3">
        <f t="shared" si="20"/>
        <v>0</v>
      </c>
      <c r="FY26" s="3">
        <f t="shared" si="20"/>
        <v>0</v>
      </c>
      <c r="FZ26" s="3">
        <f t="shared" si="20"/>
        <v>0</v>
      </c>
      <c r="GA26" s="3">
        <f t="shared" si="20"/>
        <v>0</v>
      </c>
      <c r="GB26" s="3">
        <f t="shared" si="20"/>
        <v>0</v>
      </c>
      <c r="GC26" s="3">
        <f t="shared" si="20"/>
        <v>0</v>
      </c>
      <c r="GD26" s="3">
        <f t="shared" si="20"/>
        <v>0</v>
      </c>
      <c r="GE26" s="3">
        <f t="shared" si="20"/>
        <v>0</v>
      </c>
      <c r="GF26" s="3">
        <f t="shared" si="20"/>
        <v>0</v>
      </c>
      <c r="GG26" s="3">
        <f t="shared" si="20"/>
        <v>0</v>
      </c>
      <c r="GH26" s="3">
        <f t="shared" si="20"/>
        <v>0</v>
      </c>
      <c r="GI26" s="3">
        <f t="shared" si="20"/>
        <v>0</v>
      </c>
      <c r="GJ26" s="3">
        <f t="shared" si="20"/>
        <v>0</v>
      </c>
      <c r="GK26" s="3">
        <f t="shared" si="20"/>
        <v>0</v>
      </c>
      <c r="GL26" s="3">
        <f t="shared" si="20"/>
        <v>0</v>
      </c>
      <c r="GM26" s="3">
        <f t="shared" si="20"/>
        <v>0</v>
      </c>
      <c r="GN26" s="3">
        <f t="shared" si="20"/>
        <v>0</v>
      </c>
      <c r="GO26" s="3">
        <f t="shared" si="20"/>
        <v>0</v>
      </c>
      <c r="GP26" s="3">
        <f t="shared" si="20"/>
        <v>0</v>
      </c>
      <c r="GQ26" s="3">
        <f t="shared" si="20"/>
        <v>0</v>
      </c>
      <c r="GR26" s="3">
        <f t="shared" si="20"/>
        <v>0</v>
      </c>
      <c r="GS26" s="3">
        <f t="shared" si="20"/>
        <v>0</v>
      </c>
      <c r="GT26" s="3">
        <f t="shared" si="20"/>
        <v>0</v>
      </c>
      <c r="GU26" s="3">
        <f t="shared" si="20"/>
        <v>0</v>
      </c>
      <c r="GV26" s="3">
        <f t="shared" si="20"/>
        <v>0</v>
      </c>
      <c r="GW26" s="3">
        <f t="shared" si="20"/>
        <v>0</v>
      </c>
      <c r="GX26" s="3">
        <f t="shared" si="20"/>
        <v>0</v>
      </c>
    </row>
    <row r="28" spans="1:245" x14ac:dyDescent="0.2">
      <c r="A28">
        <v>17</v>
      </c>
      <c r="B28">
        <v>1</v>
      </c>
      <c r="C28">
        <f>ROW(SmtRes!A10)</f>
        <v>10</v>
      </c>
      <c r="D28">
        <f>ROW(EtalonRes!A11)</f>
        <v>11</v>
      </c>
      <c r="E28" t="s">
        <v>17</v>
      </c>
      <c r="F28" t="s">
        <v>18</v>
      </c>
      <c r="G28" t="s">
        <v>19</v>
      </c>
      <c r="H28" t="s">
        <v>20</v>
      </c>
      <c r="I28">
        <f>ROUND(2/100,7)</f>
        <v>0.02</v>
      </c>
      <c r="J28">
        <v>0</v>
      </c>
      <c r="K28">
        <f>ROUND(2/100,7)</f>
        <v>0.02</v>
      </c>
      <c r="O28">
        <f>ROUND(CP28,2)</f>
        <v>457.01</v>
      </c>
      <c r="P28">
        <f>SUMIF(SmtRes!AQ1:'SmtRes'!AQ10,"=1",SmtRes!DF1:'SmtRes'!DF10)</f>
        <v>10.91</v>
      </c>
      <c r="Q28">
        <f>SUMIF(SmtRes!AQ1:'SmtRes'!AQ10,"=1",SmtRes!DG1:'SmtRes'!DG10)</f>
        <v>16.479999999999997</v>
      </c>
      <c r="R28">
        <f>SUMIF(SmtRes!AQ1:'SmtRes'!AQ10,"=1",SmtRes!DH1:'SmtRes'!DH10)</f>
        <v>6.82</v>
      </c>
      <c r="S28">
        <f>SUMIF(SmtRes!AQ1:'SmtRes'!AQ10,"=1",SmtRes!DI1:'SmtRes'!DI10)</f>
        <v>422.8</v>
      </c>
      <c r="T28">
        <f>ROUND(CU28*I28,2)</f>
        <v>0</v>
      </c>
      <c r="U28">
        <f>SUMIF(SmtRes!AQ1:'SmtRes'!AQ10,"=1",SmtRes!CV1:'SmtRes'!CV10)</f>
        <v>0.80135999999999996</v>
      </c>
      <c r="V28">
        <f>SUMIF(SmtRes!AQ1:'SmtRes'!AQ10,"=1",SmtRes!CW1:'SmtRes'!CW10)</f>
        <v>1.0800000000000001E-2</v>
      </c>
      <c r="W28">
        <f>ROUND(CX28*I28,2)</f>
        <v>0</v>
      </c>
      <c r="X28">
        <f>ROUND(CY28,2)</f>
        <v>416.73</v>
      </c>
      <c r="Y28">
        <f>ROUND(CZ28,2)</f>
        <v>219.11</v>
      </c>
      <c r="AA28">
        <v>88041693</v>
      </c>
      <c r="AB28">
        <f>ROUND((AC28+AD28+AF28),6)</f>
        <v>22256.786456000002</v>
      </c>
      <c r="AC28">
        <f>ROUND((SUM(SmtRes!BQ1:'SmtRes'!BQ10)),6)</f>
        <v>363.05750599999999</v>
      </c>
      <c r="AD28">
        <f>ROUND((((SUM(SmtRes!BR1:'SmtRes'!BR10))-(SUM(SmtRes!BS1:'SmtRes'!BS10)))+AE28),6)</f>
        <v>753.85215000000005</v>
      </c>
      <c r="AE28">
        <f>ROUND((SUM(SmtRes!BS1:'SmtRes'!BS10)),6)</f>
        <v>341.45280000000002</v>
      </c>
      <c r="AF28">
        <f>ROUND((SUM(SmtRes!BT1:'SmtRes'!BT10)),6)</f>
        <v>21139.876799999998</v>
      </c>
      <c r="AG28">
        <f>ROUND((AP28),6)</f>
        <v>0</v>
      </c>
      <c r="AH28">
        <f>(SUM(SmtRes!BU1:'SmtRes'!BU10))</f>
        <v>40.067999999999998</v>
      </c>
      <c r="AI28">
        <f>(SUM(SmtRes!BV1:'SmtRes'!BV10))</f>
        <v>0.54</v>
      </c>
      <c r="AJ28">
        <f>(AS28)</f>
        <v>0</v>
      </c>
      <c r="AK28">
        <v>16833.562505999998</v>
      </c>
      <c r="AL28">
        <v>363.05750600000005</v>
      </c>
      <c r="AM28">
        <v>558.40899999999999</v>
      </c>
      <c r="AN28">
        <v>252.92800000000003</v>
      </c>
      <c r="AO28">
        <v>15659.168</v>
      </c>
      <c r="AP28">
        <v>0</v>
      </c>
      <c r="AQ28">
        <v>29.68</v>
      </c>
      <c r="AR28">
        <v>0.4</v>
      </c>
      <c r="AS28">
        <v>0</v>
      </c>
      <c r="AT28">
        <v>97</v>
      </c>
      <c r="AU28">
        <v>51</v>
      </c>
      <c r="AV28">
        <v>1</v>
      </c>
      <c r="AW28">
        <v>1</v>
      </c>
      <c r="AZ28">
        <v>1</v>
      </c>
      <c r="BA28">
        <v>1</v>
      </c>
      <c r="BB28">
        <v>1</v>
      </c>
      <c r="BC28">
        <v>1</v>
      </c>
      <c r="BD28" t="s">
        <v>3</v>
      </c>
      <c r="BE28" t="s">
        <v>3</v>
      </c>
      <c r="BF28" t="s">
        <v>3</v>
      </c>
      <c r="BG28" t="s">
        <v>3</v>
      </c>
      <c r="BH28">
        <v>0</v>
      </c>
      <c r="BI28">
        <v>2</v>
      </c>
      <c r="BJ28" t="s">
        <v>21</v>
      </c>
      <c r="BM28">
        <v>108001</v>
      </c>
      <c r="BN28">
        <v>0</v>
      </c>
      <c r="BO28" t="s">
        <v>3</v>
      </c>
      <c r="BP28">
        <v>0</v>
      </c>
      <c r="BQ28">
        <v>3</v>
      </c>
      <c r="BR28">
        <v>0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 t="s">
        <v>3</v>
      </c>
      <c r="BZ28">
        <v>97</v>
      </c>
      <c r="CA28">
        <v>51</v>
      </c>
      <c r="CB28" t="s">
        <v>3</v>
      </c>
      <c r="CE28">
        <v>0</v>
      </c>
      <c r="CF28">
        <v>0</v>
      </c>
      <c r="CG28">
        <v>0</v>
      </c>
      <c r="CM28">
        <v>0</v>
      </c>
      <c r="CN28" t="s">
        <v>280</v>
      </c>
      <c r="CO28">
        <v>0</v>
      </c>
      <c r="CP28">
        <f>(P28+Q28+S28+R28)</f>
        <v>457.01</v>
      </c>
      <c r="CQ28">
        <f>SUMIF(SmtRes!AQ1:'SmtRes'!AQ10,"=1",SmtRes!AA1:'SmtRes'!AA10)</f>
        <v>236193.72999999998</v>
      </c>
      <c r="CR28">
        <f>SUMIF(SmtRes!AQ1:'SmtRes'!AQ10,"=1",SmtRes!AB1:'SmtRes'!AB10)</f>
        <v>2290.65</v>
      </c>
      <c r="CS28">
        <f>SUMIF(SmtRes!AQ1:'SmtRes'!AQ10,"=1",SmtRes!AC1:'SmtRes'!AC10)</f>
        <v>1264.6400000000001</v>
      </c>
      <c r="CT28">
        <f>SUMIF(SmtRes!AQ1:'SmtRes'!AQ10,"=1",SmtRes!AD1:'SmtRes'!AD10)</f>
        <v>527.6</v>
      </c>
      <c r="CU28">
        <f>AG28</f>
        <v>0</v>
      </c>
      <c r="CV28">
        <f>SUMIF(SmtRes!AQ1:'SmtRes'!AQ10,"=1",SmtRes!BU1:'SmtRes'!BU10)</f>
        <v>40.067999999999998</v>
      </c>
      <c r="CW28">
        <f>SUMIF(SmtRes!AQ1:'SmtRes'!AQ10,"=1",SmtRes!BV1:'SmtRes'!BV10)</f>
        <v>0.54</v>
      </c>
      <c r="CX28">
        <f>AJ28</f>
        <v>0</v>
      </c>
      <c r="CY28">
        <f>(((S28+R28)*AT28)/100)</f>
        <v>416.73140000000001</v>
      </c>
      <c r="CZ28">
        <f>(((S28+R28)*AU28)/100)</f>
        <v>219.1062</v>
      </c>
      <c r="DB28">
        <v>1</v>
      </c>
      <c r="DC28" t="s">
        <v>3</v>
      </c>
      <c r="DD28" t="s">
        <v>3</v>
      </c>
      <c r="DE28" t="s">
        <v>22</v>
      </c>
      <c r="DF28" t="s">
        <v>22</v>
      </c>
      <c r="DG28" t="s">
        <v>22</v>
      </c>
      <c r="DH28" t="s">
        <v>3</v>
      </c>
      <c r="DI28" t="s">
        <v>22</v>
      </c>
      <c r="DJ28" t="s">
        <v>22</v>
      </c>
      <c r="DK28" t="s">
        <v>3</v>
      </c>
      <c r="DL28" t="s">
        <v>3</v>
      </c>
      <c r="DM28" t="s">
        <v>3</v>
      </c>
      <c r="DN28">
        <v>0</v>
      </c>
      <c r="DO28">
        <v>0</v>
      </c>
      <c r="DP28">
        <v>1</v>
      </c>
      <c r="DQ28">
        <v>1</v>
      </c>
      <c r="DU28">
        <v>1003</v>
      </c>
      <c r="DV28" t="s">
        <v>20</v>
      </c>
      <c r="DW28" t="s">
        <v>20</v>
      </c>
      <c r="DX28">
        <v>100</v>
      </c>
      <c r="DZ28" t="s">
        <v>3</v>
      </c>
      <c r="EA28" t="s">
        <v>3</v>
      </c>
      <c r="EB28" t="s">
        <v>3</v>
      </c>
      <c r="EC28" t="s">
        <v>3</v>
      </c>
      <c r="EE28">
        <v>86834858</v>
      </c>
      <c r="EF28">
        <v>3</v>
      </c>
      <c r="EG28" t="s">
        <v>23</v>
      </c>
      <c r="EH28">
        <v>0</v>
      </c>
      <c r="EI28" t="s">
        <v>3</v>
      </c>
      <c r="EJ28">
        <v>2</v>
      </c>
      <c r="EK28">
        <v>108001</v>
      </c>
      <c r="EL28" t="s">
        <v>24</v>
      </c>
      <c r="EM28" t="s">
        <v>25</v>
      </c>
      <c r="EO28" t="s">
        <v>26</v>
      </c>
      <c r="EQ28">
        <v>256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29.68</v>
      </c>
      <c r="EX28">
        <v>0.4</v>
      </c>
      <c r="EY28">
        <v>0</v>
      </c>
      <c r="FQ28">
        <v>0</v>
      </c>
      <c r="FR28">
        <v>0</v>
      </c>
      <c r="FS28">
        <v>0</v>
      </c>
      <c r="FX28">
        <v>97</v>
      </c>
      <c r="FY28">
        <v>51</v>
      </c>
      <c r="GA28" t="s">
        <v>3</v>
      </c>
      <c r="GD28">
        <v>1</v>
      </c>
      <c r="GF28">
        <v>-1659033554</v>
      </c>
      <c r="GG28">
        <v>2</v>
      </c>
      <c r="GH28">
        <v>1</v>
      </c>
      <c r="GI28">
        <v>-2</v>
      </c>
      <c r="GJ28">
        <v>0</v>
      </c>
      <c r="GK28">
        <v>0</v>
      </c>
      <c r="GL28">
        <f>ROUND(IF(AND(BH28=3,BI28=3,FS28&lt;&gt;0),P28,0),2)</f>
        <v>0</v>
      </c>
      <c r="GM28">
        <f>ROUND(O28+X28+Y28,2)+GX28</f>
        <v>1092.8499999999999</v>
      </c>
      <c r="GN28">
        <f>IF(OR(BI28=0,BI28=1),GM28-GX28,0)</f>
        <v>0</v>
      </c>
      <c r="GO28">
        <f>IF(BI28=2,GM28-GX28,0)</f>
        <v>1092.8499999999999</v>
      </c>
      <c r="GP28">
        <f>IF(BI28=4,GM28-GX28,0)</f>
        <v>0</v>
      </c>
      <c r="GR28">
        <v>0</v>
      </c>
      <c r="GS28">
        <v>0</v>
      </c>
      <c r="GT28">
        <v>0</v>
      </c>
      <c r="GU28" t="s">
        <v>3</v>
      </c>
      <c r="GV28">
        <f>ROUND((GT28),6)</f>
        <v>0</v>
      </c>
      <c r="GW28">
        <v>1</v>
      </c>
      <c r="GX28">
        <f>ROUND(HC28*I28,2)</f>
        <v>0</v>
      </c>
      <c r="HA28">
        <v>0</v>
      </c>
      <c r="HB28">
        <v>0</v>
      </c>
      <c r="HC28">
        <f>GV28*GW28</f>
        <v>0</v>
      </c>
      <c r="HE28" t="s">
        <v>3</v>
      </c>
      <c r="HF28" t="s">
        <v>3</v>
      </c>
      <c r="HM28" t="s">
        <v>3</v>
      </c>
      <c r="HN28" t="s">
        <v>27</v>
      </c>
      <c r="HO28" t="s">
        <v>28</v>
      </c>
      <c r="HP28" t="s">
        <v>24</v>
      </c>
      <c r="HQ28" t="s">
        <v>24</v>
      </c>
      <c r="HS28">
        <v>0</v>
      </c>
      <c r="IK28">
        <v>0</v>
      </c>
    </row>
    <row r="30" spans="1:245" x14ac:dyDescent="0.2">
      <c r="A30" s="2">
        <v>51</v>
      </c>
      <c r="B30" s="2">
        <f>B24</f>
        <v>1</v>
      </c>
      <c r="C30" s="2">
        <f>A24</f>
        <v>4</v>
      </c>
      <c r="D30" s="2">
        <f>ROW(A24)</f>
        <v>24</v>
      </c>
      <c r="E30" s="2"/>
      <c r="F30" s="2" t="str">
        <f>IF(F24&lt;&gt;"",F24,"")</f>
        <v>Новый раздел</v>
      </c>
      <c r="G30" s="2" t="str">
        <f>IF(G24&lt;&gt;"",G24,"")</f>
        <v>Ремонт КЛ-10 кВ</v>
      </c>
      <c r="H30" s="2">
        <v>0</v>
      </c>
      <c r="I30" s="2"/>
      <c r="J30" s="2"/>
      <c r="K30" s="2"/>
      <c r="L30" s="2"/>
      <c r="M30" s="2"/>
      <c r="N30" s="2"/>
      <c r="O30" s="2">
        <f t="shared" ref="O30:T30" si="21">ROUND(AB30,2)</f>
        <v>457.01</v>
      </c>
      <c r="P30" s="2">
        <f t="shared" si="21"/>
        <v>10.91</v>
      </c>
      <c r="Q30" s="2">
        <f t="shared" si="21"/>
        <v>16.48</v>
      </c>
      <c r="R30" s="2">
        <f t="shared" si="21"/>
        <v>6.82</v>
      </c>
      <c r="S30" s="2">
        <f t="shared" si="21"/>
        <v>422.8</v>
      </c>
      <c r="T30" s="2">
        <f t="shared" si="21"/>
        <v>0</v>
      </c>
      <c r="U30" s="2">
        <f>AH30</f>
        <v>0.80135999999999996</v>
      </c>
      <c r="V30" s="2">
        <f>AI30</f>
        <v>1.0800000000000001E-2</v>
      </c>
      <c r="W30" s="2">
        <f>ROUND(AJ30,2)</f>
        <v>0</v>
      </c>
      <c r="X30" s="2">
        <f>ROUND(AK30,2)</f>
        <v>416.73</v>
      </c>
      <c r="Y30" s="2">
        <f>ROUND(AL30,2)</f>
        <v>219.11</v>
      </c>
      <c r="Z30" s="2"/>
      <c r="AA30" s="2"/>
      <c r="AB30" s="2">
        <f>ROUND(SUMIF(AA28:AA28,"=88041693",O28:O28),2)</f>
        <v>457.01</v>
      </c>
      <c r="AC30" s="2">
        <f>ROUND(SUMIF(AA28:AA28,"=88041693",P28:P28),2)</f>
        <v>10.91</v>
      </c>
      <c r="AD30" s="2">
        <f>ROUND(SUMIF(AA28:AA28,"=88041693",Q28:Q28),2)</f>
        <v>16.48</v>
      </c>
      <c r="AE30" s="2">
        <f>ROUND(SUMIF(AA28:AA28,"=88041693",R28:R28),2)</f>
        <v>6.82</v>
      </c>
      <c r="AF30" s="2">
        <f>ROUND(SUMIF(AA28:AA28,"=88041693",S28:S28),2)</f>
        <v>422.8</v>
      </c>
      <c r="AG30" s="2">
        <f>ROUND(SUMIF(AA28:AA28,"=88041693",T28:T28),2)</f>
        <v>0</v>
      </c>
      <c r="AH30" s="2">
        <f>SUMIF(AA28:AA28,"=88041693",U28:U28)</f>
        <v>0.80135999999999996</v>
      </c>
      <c r="AI30" s="2">
        <f>SUMIF(AA28:AA28,"=88041693",V28:V28)</f>
        <v>1.0800000000000001E-2</v>
      </c>
      <c r="AJ30" s="2">
        <f>ROUND(SUMIF(AA28:AA28,"=88041693",W28:W28),2)</f>
        <v>0</v>
      </c>
      <c r="AK30" s="2">
        <f>ROUND(SUMIF(AA28:AA28,"=88041693",X28:X28),2)</f>
        <v>416.73</v>
      </c>
      <c r="AL30" s="2">
        <f>ROUND(SUMIF(AA28:AA28,"=88041693",Y28:Y28),2)</f>
        <v>219.11</v>
      </c>
      <c r="AM30" s="2"/>
      <c r="AN30" s="2"/>
      <c r="AO30" s="2">
        <f t="shared" ref="AO30:BD30" si="22">ROUND(BX30,2)</f>
        <v>0</v>
      </c>
      <c r="AP30" s="2">
        <f t="shared" si="22"/>
        <v>0</v>
      </c>
      <c r="AQ30" s="2">
        <f t="shared" si="22"/>
        <v>0</v>
      </c>
      <c r="AR30" s="2">
        <f t="shared" si="22"/>
        <v>1092.8499999999999</v>
      </c>
      <c r="AS30" s="2">
        <f t="shared" si="22"/>
        <v>0</v>
      </c>
      <c r="AT30" s="2">
        <f t="shared" si="22"/>
        <v>1092.8499999999999</v>
      </c>
      <c r="AU30" s="2">
        <f t="shared" si="22"/>
        <v>0</v>
      </c>
      <c r="AV30" s="2">
        <f t="shared" si="22"/>
        <v>10.91</v>
      </c>
      <c r="AW30" s="2">
        <f t="shared" si="22"/>
        <v>10.91</v>
      </c>
      <c r="AX30" s="2">
        <f t="shared" si="22"/>
        <v>0</v>
      </c>
      <c r="AY30" s="2">
        <f t="shared" si="22"/>
        <v>10.91</v>
      </c>
      <c r="AZ30" s="2">
        <f t="shared" si="22"/>
        <v>0</v>
      </c>
      <c r="BA30" s="2">
        <f t="shared" si="22"/>
        <v>0</v>
      </c>
      <c r="BB30" s="2">
        <f t="shared" si="22"/>
        <v>0</v>
      </c>
      <c r="BC30" s="2">
        <f t="shared" si="22"/>
        <v>0</v>
      </c>
      <c r="BD30" s="2">
        <f t="shared" si="22"/>
        <v>0</v>
      </c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>
        <f>ROUND(SUMIF(AA28:AA28,"=88041693",FQ28:FQ28),2)</f>
        <v>0</v>
      </c>
      <c r="BY30" s="2">
        <f>ROUND(SUMIF(AA28:AA28,"=88041693",FR28:FR28),2)</f>
        <v>0</v>
      </c>
      <c r="BZ30" s="2">
        <f>ROUND(SUMIF(AA28:AA28,"=88041693",GL28:GL28),2)</f>
        <v>0</v>
      </c>
      <c r="CA30" s="2">
        <f>ROUND(SUMIF(AA28:AA28,"=88041693",GM28:GM28),2)</f>
        <v>1092.8499999999999</v>
      </c>
      <c r="CB30" s="2">
        <f>ROUND(SUMIF(AA28:AA28,"=88041693",GN28:GN28),2)</f>
        <v>0</v>
      </c>
      <c r="CC30" s="2">
        <f>ROUND(SUMIF(AA28:AA28,"=88041693",GO28:GO28),2)</f>
        <v>1092.8499999999999</v>
      </c>
      <c r="CD30" s="2">
        <f>ROUND(SUMIF(AA28:AA28,"=88041693",GP28:GP28),2)</f>
        <v>0</v>
      </c>
      <c r="CE30" s="2">
        <f>AC30-BX30</f>
        <v>10.91</v>
      </c>
      <c r="CF30" s="2">
        <f>AC30-BY30</f>
        <v>10.91</v>
      </c>
      <c r="CG30" s="2">
        <f>BX30-BZ30</f>
        <v>0</v>
      </c>
      <c r="CH30" s="2">
        <f>AC30-BX30-BY30+BZ30</f>
        <v>10.91</v>
      </c>
      <c r="CI30" s="2">
        <f>BY30-BZ30</f>
        <v>0</v>
      </c>
      <c r="CJ30" s="2">
        <f>ROUND(SUMIF(AA28:AA28,"=88041693",GX28:GX28),2)</f>
        <v>0</v>
      </c>
      <c r="CK30" s="2">
        <f>ROUND(SUMIF(AA28:AA28,"=88041693",GY28:GY28),2)</f>
        <v>0</v>
      </c>
      <c r="CL30" s="2">
        <f>ROUND(SUMIF(AA28:AA28,"=88041693",GZ28:GZ28),2)</f>
        <v>0</v>
      </c>
      <c r="CM30" s="2">
        <f>ROUND(SUMIF(AA28:AA28,"=88041693",HD28:HD28),2)</f>
        <v>0</v>
      </c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>
        <v>0</v>
      </c>
    </row>
    <row r="32" spans="1:245" x14ac:dyDescent="0.2">
      <c r="A32" s="4">
        <v>50</v>
      </c>
      <c r="B32" s="4">
        <v>0</v>
      </c>
      <c r="C32" s="4">
        <v>0</v>
      </c>
      <c r="D32" s="4">
        <v>1</v>
      </c>
      <c r="E32" s="4">
        <v>201</v>
      </c>
      <c r="F32" s="4">
        <f>ROUND(Source!O30,O32)</f>
        <v>457.01</v>
      </c>
      <c r="G32" s="4" t="s">
        <v>29</v>
      </c>
      <c r="H32" s="4" t="s">
        <v>30</v>
      </c>
      <c r="I32" s="4"/>
      <c r="J32" s="4"/>
      <c r="K32" s="4">
        <v>201</v>
      </c>
      <c r="L32" s="4">
        <v>1</v>
      </c>
      <c r="M32" s="4">
        <v>3</v>
      </c>
      <c r="N32" s="4" t="s">
        <v>3</v>
      </c>
      <c r="O32" s="4">
        <v>2</v>
      </c>
      <c r="P32" s="4"/>
      <c r="Q32" s="4"/>
      <c r="R32" s="4"/>
      <c r="S32" s="4"/>
      <c r="T32" s="4"/>
      <c r="U32" s="4"/>
      <c r="V32" s="4"/>
      <c r="W32" s="4">
        <v>457.01</v>
      </c>
      <c r="X32" s="4">
        <v>1</v>
      </c>
      <c r="Y32" s="4">
        <v>457.01</v>
      </c>
      <c r="Z32" s="4"/>
      <c r="AA32" s="4"/>
      <c r="AB32" s="4"/>
    </row>
    <row r="33" spans="1:28" x14ac:dyDescent="0.2">
      <c r="A33" s="4">
        <v>50</v>
      </c>
      <c r="B33" s="4">
        <v>0</v>
      </c>
      <c r="C33" s="4">
        <v>0</v>
      </c>
      <c r="D33" s="4">
        <v>1</v>
      </c>
      <c r="E33" s="4">
        <v>202</v>
      </c>
      <c r="F33" s="4">
        <f>ROUND(Source!P30,O33)</f>
        <v>10.91</v>
      </c>
      <c r="G33" s="4" t="s">
        <v>31</v>
      </c>
      <c r="H33" s="4" t="s">
        <v>32</v>
      </c>
      <c r="I33" s="4"/>
      <c r="J33" s="4"/>
      <c r="K33" s="4">
        <v>202</v>
      </c>
      <c r="L33" s="4">
        <v>2</v>
      </c>
      <c r="M33" s="4">
        <v>3</v>
      </c>
      <c r="N33" s="4" t="s">
        <v>3</v>
      </c>
      <c r="O33" s="4">
        <v>2</v>
      </c>
      <c r="P33" s="4"/>
      <c r="Q33" s="4"/>
      <c r="R33" s="4"/>
      <c r="S33" s="4"/>
      <c r="T33" s="4"/>
      <c r="U33" s="4"/>
      <c r="V33" s="4"/>
      <c r="W33" s="4">
        <v>10.91</v>
      </c>
      <c r="X33" s="4">
        <v>1</v>
      </c>
      <c r="Y33" s="4">
        <v>10.91</v>
      </c>
      <c r="Z33" s="4"/>
      <c r="AA33" s="4"/>
      <c r="AB33" s="4"/>
    </row>
    <row r="34" spans="1:28" x14ac:dyDescent="0.2">
      <c r="A34" s="4">
        <v>50</v>
      </c>
      <c r="B34" s="4">
        <v>0</v>
      </c>
      <c r="C34" s="4">
        <v>0</v>
      </c>
      <c r="D34" s="4">
        <v>1</v>
      </c>
      <c r="E34" s="4">
        <v>222</v>
      </c>
      <c r="F34" s="4">
        <f>ROUND(Source!AO30,O34)</f>
        <v>0</v>
      </c>
      <c r="G34" s="4" t="s">
        <v>33</v>
      </c>
      <c r="H34" s="4" t="s">
        <v>34</v>
      </c>
      <c r="I34" s="4"/>
      <c r="J34" s="4"/>
      <c r="K34" s="4">
        <v>222</v>
      </c>
      <c r="L34" s="4">
        <v>3</v>
      </c>
      <c r="M34" s="4">
        <v>3</v>
      </c>
      <c r="N34" s="4" t="s">
        <v>3</v>
      </c>
      <c r="O34" s="4">
        <v>2</v>
      </c>
      <c r="P34" s="4"/>
      <c r="Q34" s="4"/>
      <c r="R34" s="4"/>
      <c r="S34" s="4"/>
      <c r="T34" s="4"/>
      <c r="U34" s="4"/>
      <c r="V34" s="4"/>
      <c r="W34" s="4">
        <v>0</v>
      </c>
      <c r="X34" s="4">
        <v>1</v>
      </c>
      <c r="Y34" s="4">
        <v>0</v>
      </c>
      <c r="Z34" s="4"/>
      <c r="AA34" s="4"/>
      <c r="AB34" s="4"/>
    </row>
    <row r="35" spans="1:28" x14ac:dyDescent="0.2">
      <c r="A35" s="4">
        <v>50</v>
      </c>
      <c r="B35" s="4">
        <v>0</v>
      </c>
      <c r="C35" s="4">
        <v>0</v>
      </c>
      <c r="D35" s="4">
        <v>1</v>
      </c>
      <c r="E35" s="4">
        <v>225</v>
      </c>
      <c r="F35" s="4">
        <f>ROUND(Source!AV30,O35)</f>
        <v>10.91</v>
      </c>
      <c r="G35" s="4" t="s">
        <v>35</v>
      </c>
      <c r="H35" s="4" t="s">
        <v>36</v>
      </c>
      <c r="I35" s="4"/>
      <c r="J35" s="4"/>
      <c r="K35" s="4">
        <v>225</v>
      </c>
      <c r="L35" s="4">
        <v>4</v>
      </c>
      <c r="M35" s="4">
        <v>3</v>
      </c>
      <c r="N35" s="4" t="s">
        <v>3</v>
      </c>
      <c r="O35" s="4">
        <v>2</v>
      </c>
      <c r="P35" s="4"/>
      <c r="Q35" s="4"/>
      <c r="R35" s="4"/>
      <c r="S35" s="4"/>
      <c r="T35" s="4"/>
      <c r="U35" s="4"/>
      <c r="V35" s="4"/>
      <c r="W35" s="4">
        <v>10.91</v>
      </c>
      <c r="X35" s="4">
        <v>1</v>
      </c>
      <c r="Y35" s="4">
        <v>10.91</v>
      </c>
      <c r="Z35" s="4"/>
      <c r="AA35" s="4"/>
      <c r="AB35" s="4"/>
    </row>
    <row r="36" spans="1:28" x14ac:dyDescent="0.2">
      <c r="A36" s="4">
        <v>50</v>
      </c>
      <c r="B36" s="4">
        <v>0</v>
      </c>
      <c r="C36" s="4">
        <v>0</v>
      </c>
      <c r="D36" s="4">
        <v>1</v>
      </c>
      <c r="E36" s="4">
        <v>226</v>
      </c>
      <c r="F36" s="4">
        <f>ROUND(Source!AW30,O36)</f>
        <v>10.91</v>
      </c>
      <c r="G36" s="4" t="s">
        <v>37</v>
      </c>
      <c r="H36" s="4" t="s">
        <v>38</v>
      </c>
      <c r="I36" s="4"/>
      <c r="J36" s="4"/>
      <c r="K36" s="4">
        <v>226</v>
      </c>
      <c r="L36" s="4">
        <v>5</v>
      </c>
      <c r="M36" s="4">
        <v>3</v>
      </c>
      <c r="N36" s="4" t="s">
        <v>3</v>
      </c>
      <c r="O36" s="4">
        <v>2</v>
      </c>
      <c r="P36" s="4"/>
      <c r="Q36" s="4"/>
      <c r="R36" s="4"/>
      <c r="S36" s="4"/>
      <c r="T36" s="4"/>
      <c r="U36" s="4"/>
      <c r="V36" s="4"/>
      <c r="W36" s="4">
        <v>10.91</v>
      </c>
      <c r="X36" s="4">
        <v>1</v>
      </c>
      <c r="Y36" s="4">
        <v>10.91</v>
      </c>
      <c r="Z36" s="4"/>
      <c r="AA36" s="4"/>
      <c r="AB36" s="4"/>
    </row>
    <row r="37" spans="1:28" x14ac:dyDescent="0.2">
      <c r="A37" s="4">
        <v>50</v>
      </c>
      <c r="B37" s="4">
        <v>0</v>
      </c>
      <c r="C37" s="4">
        <v>0</v>
      </c>
      <c r="D37" s="4">
        <v>1</v>
      </c>
      <c r="E37" s="4">
        <v>227</v>
      </c>
      <c r="F37" s="4">
        <f>ROUND(Source!AX30,O37)</f>
        <v>0</v>
      </c>
      <c r="G37" s="4" t="s">
        <v>39</v>
      </c>
      <c r="H37" s="4" t="s">
        <v>40</v>
      </c>
      <c r="I37" s="4"/>
      <c r="J37" s="4"/>
      <c r="K37" s="4">
        <v>227</v>
      </c>
      <c r="L37" s="4">
        <v>6</v>
      </c>
      <c r="M37" s="4">
        <v>3</v>
      </c>
      <c r="N37" s="4" t="s">
        <v>3</v>
      </c>
      <c r="O37" s="4">
        <v>2</v>
      </c>
      <c r="P37" s="4"/>
      <c r="Q37" s="4"/>
      <c r="R37" s="4"/>
      <c r="S37" s="4"/>
      <c r="T37" s="4"/>
      <c r="U37" s="4"/>
      <c r="V37" s="4"/>
      <c r="W37" s="4">
        <v>0</v>
      </c>
      <c r="X37" s="4">
        <v>1</v>
      </c>
      <c r="Y37" s="4">
        <v>0</v>
      </c>
      <c r="Z37" s="4"/>
      <c r="AA37" s="4"/>
      <c r="AB37" s="4"/>
    </row>
    <row r="38" spans="1:28" x14ac:dyDescent="0.2">
      <c r="A38" s="4">
        <v>50</v>
      </c>
      <c r="B38" s="4">
        <v>0</v>
      </c>
      <c r="C38" s="4">
        <v>0</v>
      </c>
      <c r="D38" s="4">
        <v>1</v>
      </c>
      <c r="E38" s="4">
        <v>228</v>
      </c>
      <c r="F38" s="4">
        <f>ROUND(Source!AY30,O38)</f>
        <v>10.91</v>
      </c>
      <c r="G38" s="4" t="s">
        <v>41</v>
      </c>
      <c r="H38" s="4" t="s">
        <v>42</v>
      </c>
      <c r="I38" s="4"/>
      <c r="J38" s="4"/>
      <c r="K38" s="4">
        <v>228</v>
      </c>
      <c r="L38" s="4">
        <v>7</v>
      </c>
      <c r="M38" s="4">
        <v>3</v>
      </c>
      <c r="N38" s="4" t="s">
        <v>3</v>
      </c>
      <c r="O38" s="4">
        <v>2</v>
      </c>
      <c r="P38" s="4"/>
      <c r="Q38" s="4"/>
      <c r="R38" s="4"/>
      <c r="S38" s="4"/>
      <c r="T38" s="4"/>
      <c r="U38" s="4"/>
      <c r="V38" s="4"/>
      <c r="W38" s="4">
        <v>10.91</v>
      </c>
      <c r="X38" s="4">
        <v>1</v>
      </c>
      <c r="Y38" s="4">
        <v>10.91</v>
      </c>
      <c r="Z38" s="4"/>
      <c r="AA38" s="4"/>
      <c r="AB38" s="4"/>
    </row>
    <row r="39" spans="1:28" x14ac:dyDescent="0.2">
      <c r="A39" s="4">
        <v>50</v>
      </c>
      <c r="B39" s="4">
        <v>0</v>
      </c>
      <c r="C39" s="4">
        <v>0</v>
      </c>
      <c r="D39" s="4">
        <v>1</v>
      </c>
      <c r="E39" s="4">
        <v>216</v>
      </c>
      <c r="F39" s="4">
        <f>ROUND(Source!AP30,O39)</f>
        <v>0</v>
      </c>
      <c r="G39" s="4" t="s">
        <v>43</v>
      </c>
      <c r="H39" s="4" t="s">
        <v>44</v>
      </c>
      <c r="I39" s="4"/>
      <c r="J39" s="4"/>
      <c r="K39" s="4">
        <v>216</v>
      </c>
      <c r="L39" s="4">
        <v>8</v>
      </c>
      <c r="M39" s="4">
        <v>3</v>
      </c>
      <c r="N39" s="4" t="s">
        <v>3</v>
      </c>
      <c r="O39" s="4">
        <v>2</v>
      </c>
      <c r="P39" s="4"/>
      <c r="Q39" s="4"/>
      <c r="R39" s="4"/>
      <c r="S39" s="4"/>
      <c r="T39" s="4"/>
      <c r="U39" s="4"/>
      <c r="V39" s="4"/>
      <c r="W39" s="4">
        <v>0</v>
      </c>
      <c r="X39" s="4">
        <v>1</v>
      </c>
      <c r="Y39" s="4">
        <v>0</v>
      </c>
      <c r="Z39" s="4"/>
      <c r="AA39" s="4"/>
      <c r="AB39" s="4"/>
    </row>
    <row r="40" spans="1:28" x14ac:dyDescent="0.2">
      <c r="A40" s="4">
        <v>50</v>
      </c>
      <c r="B40" s="4">
        <v>0</v>
      </c>
      <c r="C40" s="4">
        <v>0</v>
      </c>
      <c r="D40" s="4">
        <v>1</v>
      </c>
      <c r="E40" s="4">
        <v>223</v>
      </c>
      <c r="F40" s="4">
        <f>ROUND(Source!AQ30,O40)</f>
        <v>0</v>
      </c>
      <c r="G40" s="4" t="s">
        <v>45</v>
      </c>
      <c r="H40" s="4" t="s">
        <v>46</v>
      </c>
      <c r="I40" s="4"/>
      <c r="J40" s="4"/>
      <c r="K40" s="4">
        <v>223</v>
      </c>
      <c r="L40" s="4">
        <v>9</v>
      </c>
      <c r="M40" s="4">
        <v>3</v>
      </c>
      <c r="N40" s="4" t="s">
        <v>3</v>
      </c>
      <c r="O40" s="4">
        <v>2</v>
      </c>
      <c r="P40" s="4"/>
      <c r="Q40" s="4"/>
      <c r="R40" s="4"/>
      <c r="S40" s="4"/>
      <c r="T40" s="4"/>
      <c r="U40" s="4"/>
      <c r="V40" s="4"/>
      <c r="W40" s="4">
        <v>0</v>
      </c>
      <c r="X40" s="4">
        <v>1</v>
      </c>
      <c r="Y40" s="4">
        <v>0</v>
      </c>
      <c r="Z40" s="4"/>
      <c r="AA40" s="4"/>
      <c r="AB40" s="4"/>
    </row>
    <row r="41" spans="1:28" x14ac:dyDescent="0.2">
      <c r="A41" s="4">
        <v>50</v>
      </c>
      <c r="B41" s="4">
        <v>0</v>
      </c>
      <c r="C41" s="4">
        <v>0</v>
      </c>
      <c r="D41" s="4">
        <v>1</v>
      </c>
      <c r="E41" s="4">
        <v>229</v>
      </c>
      <c r="F41" s="4">
        <f>ROUND(Source!AZ30,O41)</f>
        <v>0</v>
      </c>
      <c r="G41" s="4" t="s">
        <v>47</v>
      </c>
      <c r="H41" s="4" t="s">
        <v>48</v>
      </c>
      <c r="I41" s="4"/>
      <c r="J41" s="4"/>
      <c r="K41" s="4">
        <v>229</v>
      </c>
      <c r="L41" s="4">
        <v>10</v>
      </c>
      <c r="M41" s="4">
        <v>3</v>
      </c>
      <c r="N41" s="4" t="s">
        <v>3</v>
      </c>
      <c r="O41" s="4">
        <v>2</v>
      </c>
      <c r="P41" s="4"/>
      <c r="Q41" s="4"/>
      <c r="R41" s="4"/>
      <c r="S41" s="4"/>
      <c r="T41" s="4"/>
      <c r="U41" s="4"/>
      <c r="V41" s="4"/>
      <c r="W41" s="4">
        <v>0</v>
      </c>
      <c r="X41" s="4">
        <v>1</v>
      </c>
      <c r="Y41" s="4">
        <v>0</v>
      </c>
      <c r="Z41" s="4"/>
      <c r="AA41" s="4"/>
      <c r="AB41" s="4"/>
    </row>
    <row r="42" spans="1:28" x14ac:dyDescent="0.2">
      <c r="A42" s="4">
        <v>50</v>
      </c>
      <c r="B42" s="4">
        <v>0</v>
      </c>
      <c r="C42" s="4">
        <v>0</v>
      </c>
      <c r="D42" s="4">
        <v>1</v>
      </c>
      <c r="E42" s="4">
        <v>203</v>
      </c>
      <c r="F42" s="4">
        <f>ROUND(Source!Q30,O42)</f>
        <v>16.48</v>
      </c>
      <c r="G42" s="4" t="s">
        <v>49</v>
      </c>
      <c r="H42" s="4" t="s">
        <v>50</v>
      </c>
      <c r="I42" s="4"/>
      <c r="J42" s="4"/>
      <c r="K42" s="4">
        <v>203</v>
      </c>
      <c r="L42" s="4">
        <v>11</v>
      </c>
      <c r="M42" s="4">
        <v>3</v>
      </c>
      <c r="N42" s="4" t="s">
        <v>3</v>
      </c>
      <c r="O42" s="4">
        <v>2</v>
      </c>
      <c r="P42" s="4"/>
      <c r="Q42" s="4"/>
      <c r="R42" s="4"/>
      <c r="S42" s="4"/>
      <c r="T42" s="4"/>
      <c r="U42" s="4"/>
      <c r="V42" s="4"/>
      <c r="W42" s="4">
        <v>16.479999999999997</v>
      </c>
      <c r="X42" s="4">
        <v>1</v>
      </c>
      <c r="Y42" s="4">
        <v>16.479999999999997</v>
      </c>
      <c r="Z42" s="4"/>
      <c r="AA42" s="4"/>
      <c r="AB42" s="4"/>
    </row>
    <row r="43" spans="1:28" x14ac:dyDescent="0.2">
      <c r="A43" s="4">
        <v>50</v>
      </c>
      <c r="B43" s="4">
        <v>0</v>
      </c>
      <c r="C43" s="4">
        <v>0</v>
      </c>
      <c r="D43" s="4">
        <v>1</v>
      </c>
      <c r="E43" s="4">
        <v>231</v>
      </c>
      <c r="F43" s="4">
        <f>ROUND(Source!BB30,O43)</f>
        <v>0</v>
      </c>
      <c r="G43" s="4" t="s">
        <v>51</v>
      </c>
      <c r="H43" s="4" t="s">
        <v>52</v>
      </c>
      <c r="I43" s="4"/>
      <c r="J43" s="4"/>
      <c r="K43" s="4">
        <v>231</v>
      </c>
      <c r="L43" s="4">
        <v>12</v>
      </c>
      <c r="M43" s="4">
        <v>3</v>
      </c>
      <c r="N43" s="4" t="s">
        <v>3</v>
      </c>
      <c r="O43" s="4">
        <v>2</v>
      </c>
      <c r="P43" s="4"/>
      <c r="Q43" s="4"/>
      <c r="R43" s="4"/>
      <c r="S43" s="4"/>
      <c r="T43" s="4"/>
      <c r="U43" s="4"/>
      <c r="V43" s="4"/>
      <c r="W43" s="4">
        <v>0</v>
      </c>
      <c r="X43" s="4">
        <v>1</v>
      </c>
      <c r="Y43" s="4">
        <v>0</v>
      </c>
      <c r="Z43" s="4"/>
      <c r="AA43" s="4"/>
      <c r="AB43" s="4"/>
    </row>
    <row r="44" spans="1:28" x14ac:dyDescent="0.2">
      <c r="A44" s="4">
        <v>50</v>
      </c>
      <c r="B44" s="4">
        <v>0</v>
      </c>
      <c r="C44" s="4">
        <v>0</v>
      </c>
      <c r="D44" s="4">
        <v>1</v>
      </c>
      <c r="E44" s="4">
        <v>204</v>
      </c>
      <c r="F44" s="4">
        <f>ROUND(Source!R30,O44)</f>
        <v>6.82</v>
      </c>
      <c r="G44" s="4" t="s">
        <v>53</v>
      </c>
      <c r="H44" s="4" t="s">
        <v>54</v>
      </c>
      <c r="I44" s="4"/>
      <c r="J44" s="4"/>
      <c r="K44" s="4">
        <v>204</v>
      </c>
      <c r="L44" s="4">
        <v>13</v>
      </c>
      <c r="M44" s="4">
        <v>3</v>
      </c>
      <c r="N44" s="4" t="s">
        <v>3</v>
      </c>
      <c r="O44" s="4">
        <v>2</v>
      </c>
      <c r="P44" s="4"/>
      <c r="Q44" s="4"/>
      <c r="R44" s="4"/>
      <c r="S44" s="4"/>
      <c r="T44" s="4"/>
      <c r="U44" s="4"/>
      <c r="V44" s="4"/>
      <c r="W44" s="4">
        <v>6.82</v>
      </c>
      <c r="X44" s="4">
        <v>1</v>
      </c>
      <c r="Y44" s="4">
        <v>6.82</v>
      </c>
      <c r="Z44" s="4"/>
      <c r="AA44" s="4"/>
      <c r="AB44" s="4"/>
    </row>
    <row r="45" spans="1:28" x14ac:dyDescent="0.2">
      <c r="A45" s="4">
        <v>50</v>
      </c>
      <c r="B45" s="4">
        <v>0</v>
      </c>
      <c r="C45" s="4">
        <v>0</v>
      </c>
      <c r="D45" s="4">
        <v>1</v>
      </c>
      <c r="E45" s="4">
        <v>205</v>
      </c>
      <c r="F45" s="4">
        <f>ROUND(Source!S30,O45)</f>
        <v>422.8</v>
      </c>
      <c r="G45" s="4" t="s">
        <v>55</v>
      </c>
      <c r="H45" s="4" t="s">
        <v>56</v>
      </c>
      <c r="I45" s="4"/>
      <c r="J45" s="4"/>
      <c r="K45" s="4">
        <v>205</v>
      </c>
      <c r="L45" s="4">
        <v>14</v>
      </c>
      <c r="M45" s="4">
        <v>3</v>
      </c>
      <c r="N45" s="4" t="s">
        <v>3</v>
      </c>
      <c r="O45" s="4">
        <v>2</v>
      </c>
      <c r="P45" s="4"/>
      <c r="Q45" s="4"/>
      <c r="R45" s="4"/>
      <c r="S45" s="4"/>
      <c r="T45" s="4"/>
      <c r="U45" s="4"/>
      <c r="V45" s="4"/>
      <c r="W45" s="4">
        <v>422.8</v>
      </c>
      <c r="X45" s="4">
        <v>1</v>
      </c>
      <c r="Y45" s="4">
        <v>422.8</v>
      </c>
      <c r="Z45" s="4"/>
      <c r="AA45" s="4"/>
      <c r="AB45" s="4"/>
    </row>
    <row r="46" spans="1:28" x14ac:dyDescent="0.2">
      <c r="A46" s="4">
        <v>50</v>
      </c>
      <c r="B46" s="4">
        <v>0</v>
      </c>
      <c r="C46" s="4">
        <v>0</v>
      </c>
      <c r="D46" s="4">
        <v>1</v>
      </c>
      <c r="E46" s="4">
        <v>232</v>
      </c>
      <c r="F46" s="4">
        <f>ROUND(Source!BC30,O46)</f>
        <v>0</v>
      </c>
      <c r="G46" s="4" t="s">
        <v>57</v>
      </c>
      <c r="H46" s="4" t="s">
        <v>58</v>
      </c>
      <c r="I46" s="4"/>
      <c r="J46" s="4"/>
      <c r="K46" s="4">
        <v>232</v>
      </c>
      <c r="L46" s="4">
        <v>15</v>
      </c>
      <c r="M46" s="4">
        <v>3</v>
      </c>
      <c r="N46" s="4" t="s">
        <v>3</v>
      </c>
      <c r="O46" s="4">
        <v>2</v>
      </c>
      <c r="P46" s="4"/>
      <c r="Q46" s="4"/>
      <c r="R46" s="4"/>
      <c r="S46" s="4"/>
      <c r="T46" s="4"/>
      <c r="U46" s="4"/>
      <c r="V46" s="4"/>
      <c r="W46" s="4">
        <v>0</v>
      </c>
      <c r="X46" s="4">
        <v>1</v>
      </c>
      <c r="Y46" s="4">
        <v>0</v>
      </c>
      <c r="Z46" s="4"/>
      <c r="AA46" s="4"/>
      <c r="AB46" s="4"/>
    </row>
    <row r="47" spans="1:28" x14ac:dyDescent="0.2">
      <c r="A47" s="4">
        <v>50</v>
      </c>
      <c r="B47" s="4">
        <v>0</v>
      </c>
      <c r="C47" s="4">
        <v>0</v>
      </c>
      <c r="D47" s="4">
        <v>1</v>
      </c>
      <c r="E47" s="4">
        <v>214</v>
      </c>
      <c r="F47" s="4">
        <f>ROUND(Source!AS30,O47)</f>
        <v>0</v>
      </c>
      <c r="G47" s="4" t="s">
        <v>59</v>
      </c>
      <c r="H47" s="4" t="s">
        <v>60</v>
      </c>
      <c r="I47" s="4"/>
      <c r="J47" s="4"/>
      <c r="K47" s="4">
        <v>214</v>
      </c>
      <c r="L47" s="4">
        <v>16</v>
      </c>
      <c r="M47" s="4">
        <v>3</v>
      </c>
      <c r="N47" s="4" t="s">
        <v>3</v>
      </c>
      <c r="O47" s="4">
        <v>2</v>
      </c>
      <c r="P47" s="4"/>
      <c r="Q47" s="4"/>
      <c r="R47" s="4"/>
      <c r="S47" s="4"/>
      <c r="T47" s="4"/>
      <c r="U47" s="4"/>
      <c r="V47" s="4"/>
      <c r="W47" s="4">
        <v>0</v>
      </c>
      <c r="X47" s="4">
        <v>1</v>
      </c>
      <c r="Y47" s="4">
        <v>0</v>
      </c>
      <c r="Z47" s="4"/>
      <c r="AA47" s="4"/>
      <c r="AB47" s="4"/>
    </row>
    <row r="48" spans="1:28" x14ac:dyDescent="0.2">
      <c r="A48" s="4">
        <v>50</v>
      </c>
      <c r="B48" s="4">
        <v>0</v>
      </c>
      <c r="C48" s="4">
        <v>0</v>
      </c>
      <c r="D48" s="4">
        <v>1</v>
      </c>
      <c r="E48" s="4">
        <v>215</v>
      </c>
      <c r="F48" s="4">
        <f>ROUND(Source!AT30,O48)</f>
        <v>1092.8499999999999</v>
      </c>
      <c r="G48" s="4" t="s">
        <v>61</v>
      </c>
      <c r="H48" s="4" t="s">
        <v>62</v>
      </c>
      <c r="I48" s="4"/>
      <c r="J48" s="4"/>
      <c r="K48" s="4">
        <v>215</v>
      </c>
      <c r="L48" s="4">
        <v>17</v>
      </c>
      <c r="M48" s="4">
        <v>3</v>
      </c>
      <c r="N48" s="4" t="s">
        <v>3</v>
      </c>
      <c r="O48" s="4">
        <v>2</v>
      </c>
      <c r="P48" s="4"/>
      <c r="Q48" s="4"/>
      <c r="R48" s="4"/>
      <c r="S48" s="4"/>
      <c r="T48" s="4"/>
      <c r="U48" s="4"/>
      <c r="V48" s="4"/>
      <c r="W48" s="4">
        <v>1092.8499999999999</v>
      </c>
      <c r="X48" s="4">
        <v>1</v>
      </c>
      <c r="Y48" s="4">
        <v>1092.8499999999999</v>
      </c>
      <c r="Z48" s="4"/>
      <c r="AA48" s="4"/>
      <c r="AB48" s="4"/>
    </row>
    <row r="49" spans="1:245" x14ac:dyDescent="0.2">
      <c r="A49" s="4">
        <v>50</v>
      </c>
      <c r="B49" s="4">
        <v>0</v>
      </c>
      <c r="C49" s="4">
        <v>0</v>
      </c>
      <c r="D49" s="4">
        <v>1</v>
      </c>
      <c r="E49" s="4">
        <v>217</v>
      </c>
      <c r="F49" s="4">
        <f>ROUND(Source!AU30,O49)</f>
        <v>0</v>
      </c>
      <c r="G49" s="4" t="s">
        <v>63</v>
      </c>
      <c r="H49" s="4" t="s">
        <v>64</v>
      </c>
      <c r="I49" s="4"/>
      <c r="J49" s="4"/>
      <c r="K49" s="4">
        <v>217</v>
      </c>
      <c r="L49" s="4">
        <v>18</v>
      </c>
      <c r="M49" s="4">
        <v>3</v>
      </c>
      <c r="N49" s="4" t="s">
        <v>3</v>
      </c>
      <c r="O49" s="4">
        <v>2</v>
      </c>
      <c r="P49" s="4"/>
      <c r="Q49" s="4"/>
      <c r="R49" s="4"/>
      <c r="S49" s="4"/>
      <c r="T49" s="4"/>
      <c r="U49" s="4"/>
      <c r="V49" s="4"/>
      <c r="W49" s="4">
        <v>0</v>
      </c>
      <c r="X49" s="4">
        <v>1</v>
      </c>
      <c r="Y49" s="4">
        <v>0</v>
      </c>
      <c r="Z49" s="4"/>
      <c r="AA49" s="4"/>
      <c r="AB49" s="4"/>
    </row>
    <row r="50" spans="1:245" x14ac:dyDescent="0.2">
      <c r="A50" s="4">
        <v>50</v>
      </c>
      <c r="B50" s="4">
        <v>0</v>
      </c>
      <c r="C50" s="4">
        <v>0</v>
      </c>
      <c r="D50" s="4">
        <v>1</v>
      </c>
      <c r="E50" s="4">
        <v>230</v>
      </c>
      <c r="F50" s="4">
        <f>ROUND(Source!BA30,O50)</f>
        <v>0</v>
      </c>
      <c r="G50" s="4" t="s">
        <v>65</v>
      </c>
      <c r="H50" s="4" t="s">
        <v>66</v>
      </c>
      <c r="I50" s="4"/>
      <c r="J50" s="4"/>
      <c r="K50" s="4">
        <v>230</v>
      </c>
      <c r="L50" s="4">
        <v>19</v>
      </c>
      <c r="M50" s="4">
        <v>3</v>
      </c>
      <c r="N50" s="4" t="s">
        <v>3</v>
      </c>
      <c r="O50" s="4">
        <v>2</v>
      </c>
      <c r="P50" s="4"/>
      <c r="Q50" s="4"/>
      <c r="R50" s="4"/>
      <c r="S50" s="4"/>
      <c r="T50" s="4"/>
      <c r="U50" s="4"/>
      <c r="V50" s="4"/>
      <c r="W50" s="4">
        <v>0</v>
      </c>
      <c r="X50" s="4">
        <v>1</v>
      </c>
      <c r="Y50" s="4">
        <v>0</v>
      </c>
      <c r="Z50" s="4"/>
      <c r="AA50" s="4"/>
      <c r="AB50" s="4"/>
    </row>
    <row r="51" spans="1:245" x14ac:dyDescent="0.2">
      <c r="A51" s="4">
        <v>50</v>
      </c>
      <c r="B51" s="4">
        <v>0</v>
      </c>
      <c r="C51" s="4">
        <v>0</v>
      </c>
      <c r="D51" s="4">
        <v>1</v>
      </c>
      <c r="E51" s="4">
        <v>206</v>
      </c>
      <c r="F51" s="4">
        <f>ROUND(Source!T30,O51)</f>
        <v>0</v>
      </c>
      <c r="G51" s="4" t="s">
        <v>67</v>
      </c>
      <c r="H51" s="4" t="s">
        <v>68</v>
      </c>
      <c r="I51" s="4"/>
      <c r="J51" s="4"/>
      <c r="K51" s="4">
        <v>206</v>
      </c>
      <c r="L51" s="4">
        <v>20</v>
      </c>
      <c r="M51" s="4">
        <v>3</v>
      </c>
      <c r="N51" s="4" t="s">
        <v>3</v>
      </c>
      <c r="O51" s="4">
        <v>2</v>
      </c>
      <c r="P51" s="4"/>
      <c r="Q51" s="4"/>
      <c r="R51" s="4"/>
      <c r="S51" s="4"/>
      <c r="T51" s="4"/>
      <c r="U51" s="4"/>
      <c r="V51" s="4"/>
      <c r="W51" s="4">
        <v>0</v>
      </c>
      <c r="X51" s="4">
        <v>1</v>
      </c>
      <c r="Y51" s="4">
        <v>0</v>
      </c>
      <c r="Z51" s="4"/>
      <c r="AA51" s="4"/>
      <c r="AB51" s="4"/>
    </row>
    <row r="52" spans="1:245" x14ac:dyDescent="0.2">
      <c r="A52" s="4">
        <v>50</v>
      </c>
      <c r="B52" s="4">
        <v>0</v>
      </c>
      <c r="C52" s="4">
        <v>0</v>
      </c>
      <c r="D52" s="4">
        <v>1</v>
      </c>
      <c r="E52" s="4">
        <v>207</v>
      </c>
      <c r="F52" s="4">
        <f>ROUND(Source!U30,O52)</f>
        <v>0.80135999999999996</v>
      </c>
      <c r="G52" s="4" t="s">
        <v>69</v>
      </c>
      <c r="H52" s="4" t="s">
        <v>70</v>
      </c>
      <c r="I52" s="4"/>
      <c r="J52" s="4"/>
      <c r="K52" s="4">
        <v>207</v>
      </c>
      <c r="L52" s="4">
        <v>21</v>
      </c>
      <c r="M52" s="4">
        <v>3</v>
      </c>
      <c r="N52" s="4" t="s">
        <v>3</v>
      </c>
      <c r="O52" s="4">
        <v>7</v>
      </c>
      <c r="P52" s="4"/>
      <c r="Q52" s="4"/>
      <c r="R52" s="4"/>
      <c r="S52" s="4"/>
      <c r="T52" s="4"/>
      <c r="U52" s="4"/>
      <c r="V52" s="4"/>
      <c r="W52" s="4">
        <v>0.80135999999999996</v>
      </c>
      <c r="X52" s="4">
        <v>1</v>
      </c>
      <c r="Y52" s="4">
        <v>0.80135999999999996</v>
      </c>
      <c r="Z52" s="4"/>
      <c r="AA52" s="4"/>
      <c r="AB52" s="4"/>
    </row>
    <row r="53" spans="1:245" x14ac:dyDescent="0.2">
      <c r="A53" s="4">
        <v>50</v>
      </c>
      <c r="B53" s="4">
        <v>0</v>
      </c>
      <c r="C53" s="4">
        <v>0</v>
      </c>
      <c r="D53" s="4">
        <v>1</v>
      </c>
      <c r="E53" s="4">
        <v>208</v>
      </c>
      <c r="F53" s="4">
        <f>ROUND(Source!V30,O53)</f>
        <v>1.0800000000000001E-2</v>
      </c>
      <c r="G53" s="4" t="s">
        <v>71</v>
      </c>
      <c r="H53" s="4" t="s">
        <v>72</v>
      </c>
      <c r="I53" s="4"/>
      <c r="J53" s="4"/>
      <c r="K53" s="4">
        <v>208</v>
      </c>
      <c r="L53" s="4">
        <v>22</v>
      </c>
      <c r="M53" s="4">
        <v>3</v>
      </c>
      <c r="N53" s="4" t="s">
        <v>3</v>
      </c>
      <c r="O53" s="4">
        <v>7</v>
      </c>
      <c r="P53" s="4"/>
      <c r="Q53" s="4"/>
      <c r="R53" s="4"/>
      <c r="S53" s="4"/>
      <c r="T53" s="4"/>
      <c r="U53" s="4"/>
      <c r="V53" s="4"/>
      <c r="W53" s="4">
        <v>1.0800000000000001E-2</v>
      </c>
      <c r="X53" s="4">
        <v>1</v>
      </c>
      <c r="Y53" s="4">
        <v>1.0800000000000001E-2</v>
      </c>
      <c r="Z53" s="4"/>
      <c r="AA53" s="4"/>
      <c r="AB53" s="4"/>
    </row>
    <row r="54" spans="1:245" x14ac:dyDescent="0.2">
      <c r="A54" s="4">
        <v>50</v>
      </c>
      <c r="B54" s="4">
        <v>0</v>
      </c>
      <c r="C54" s="4">
        <v>0</v>
      </c>
      <c r="D54" s="4">
        <v>1</v>
      </c>
      <c r="E54" s="4">
        <v>209</v>
      </c>
      <c r="F54" s="4">
        <f>ROUND(Source!W30,O54)</f>
        <v>0</v>
      </c>
      <c r="G54" s="4" t="s">
        <v>73</v>
      </c>
      <c r="H54" s="4" t="s">
        <v>74</v>
      </c>
      <c r="I54" s="4"/>
      <c r="J54" s="4"/>
      <c r="K54" s="4">
        <v>209</v>
      </c>
      <c r="L54" s="4">
        <v>23</v>
      </c>
      <c r="M54" s="4">
        <v>3</v>
      </c>
      <c r="N54" s="4" t="s">
        <v>3</v>
      </c>
      <c r="O54" s="4">
        <v>2</v>
      </c>
      <c r="P54" s="4"/>
      <c r="Q54" s="4"/>
      <c r="R54" s="4"/>
      <c r="S54" s="4"/>
      <c r="T54" s="4"/>
      <c r="U54" s="4"/>
      <c r="V54" s="4"/>
      <c r="W54" s="4">
        <v>0</v>
      </c>
      <c r="X54" s="4">
        <v>1</v>
      </c>
      <c r="Y54" s="4">
        <v>0</v>
      </c>
      <c r="Z54" s="4"/>
      <c r="AA54" s="4"/>
      <c r="AB54" s="4"/>
    </row>
    <row r="55" spans="1:245" x14ac:dyDescent="0.2">
      <c r="A55" s="4">
        <v>50</v>
      </c>
      <c r="B55" s="4">
        <v>0</v>
      </c>
      <c r="C55" s="4">
        <v>0</v>
      </c>
      <c r="D55" s="4">
        <v>1</v>
      </c>
      <c r="E55" s="4">
        <v>233</v>
      </c>
      <c r="F55" s="4">
        <f>ROUND(Source!BD30,O55)</f>
        <v>0</v>
      </c>
      <c r="G55" s="4" t="s">
        <v>75</v>
      </c>
      <c r="H55" s="4" t="s">
        <v>76</v>
      </c>
      <c r="I55" s="4"/>
      <c r="J55" s="4"/>
      <c r="K55" s="4">
        <v>233</v>
      </c>
      <c r="L55" s="4">
        <v>24</v>
      </c>
      <c r="M55" s="4">
        <v>3</v>
      </c>
      <c r="N55" s="4" t="s">
        <v>3</v>
      </c>
      <c r="O55" s="4">
        <v>2</v>
      </c>
      <c r="P55" s="4"/>
      <c r="Q55" s="4"/>
      <c r="R55" s="4"/>
      <c r="S55" s="4"/>
      <c r="T55" s="4"/>
      <c r="U55" s="4"/>
      <c r="V55" s="4"/>
      <c r="W55" s="4">
        <v>0</v>
      </c>
      <c r="X55" s="4">
        <v>1</v>
      </c>
      <c r="Y55" s="4">
        <v>0</v>
      </c>
      <c r="Z55" s="4"/>
      <c r="AA55" s="4"/>
      <c r="AB55" s="4"/>
    </row>
    <row r="56" spans="1:245" x14ac:dyDescent="0.2">
      <c r="A56" s="4">
        <v>50</v>
      </c>
      <c r="B56" s="4">
        <v>0</v>
      </c>
      <c r="C56" s="4">
        <v>0</v>
      </c>
      <c r="D56" s="4">
        <v>1</v>
      </c>
      <c r="E56" s="4">
        <v>210</v>
      </c>
      <c r="F56" s="4">
        <f>ROUND(Source!X30,O56)</f>
        <v>416.73</v>
      </c>
      <c r="G56" s="4" t="s">
        <v>77</v>
      </c>
      <c r="H56" s="4" t="s">
        <v>78</v>
      </c>
      <c r="I56" s="4"/>
      <c r="J56" s="4"/>
      <c r="K56" s="4">
        <v>210</v>
      </c>
      <c r="L56" s="4">
        <v>25</v>
      </c>
      <c r="M56" s="4">
        <v>3</v>
      </c>
      <c r="N56" s="4" t="s">
        <v>3</v>
      </c>
      <c r="O56" s="4">
        <v>2</v>
      </c>
      <c r="P56" s="4"/>
      <c r="Q56" s="4"/>
      <c r="R56" s="4"/>
      <c r="S56" s="4"/>
      <c r="T56" s="4"/>
      <c r="U56" s="4"/>
      <c r="V56" s="4"/>
      <c r="W56" s="4">
        <v>416.73</v>
      </c>
      <c r="X56" s="4">
        <v>1</v>
      </c>
      <c r="Y56" s="4">
        <v>416.73</v>
      </c>
      <c r="Z56" s="4"/>
      <c r="AA56" s="4"/>
      <c r="AB56" s="4"/>
    </row>
    <row r="57" spans="1:245" x14ac:dyDescent="0.2">
      <c r="A57" s="4">
        <v>50</v>
      </c>
      <c r="B57" s="4">
        <v>0</v>
      </c>
      <c r="C57" s="4">
        <v>0</v>
      </c>
      <c r="D57" s="4">
        <v>1</v>
      </c>
      <c r="E57" s="4">
        <v>211</v>
      </c>
      <c r="F57" s="4">
        <f>ROUND(Source!Y30,O57)</f>
        <v>219.11</v>
      </c>
      <c r="G57" s="4" t="s">
        <v>79</v>
      </c>
      <c r="H57" s="4" t="s">
        <v>80</v>
      </c>
      <c r="I57" s="4"/>
      <c r="J57" s="4"/>
      <c r="K57" s="4">
        <v>211</v>
      </c>
      <c r="L57" s="4">
        <v>26</v>
      </c>
      <c r="M57" s="4">
        <v>3</v>
      </c>
      <c r="N57" s="4" t="s">
        <v>3</v>
      </c>
      <c r="O57" s="4">
        <v>2</v>
      </c>
      <c r="P57" s="4"/>
      <c r="Q57" s="4"/>
      <c r="R57" s="4"/>
      <c r="S57" s="4"/>
      <c r="T57" s="4"/>
      <c r="U57" s="4"/>
      <c r="V57" s="4"/>
      <c r="W57" s="4">
        <v>219.11</v>
      </c>
      <c r="X57" s="4">
        <v>1</v>
      </c>
      <c r="Y57" s="4">
        <v>219.11</v>
      </c>
      <c r="Z57" s="4"/>
      <c r="AA57" s="4"/>
      <c r="AB57" s="4"/>
    </row>
    <row r="58" spans="1:245" x14ac:dyDescent="0.2">
      <c r="A58" s="4">
        <v>50</v>
      </c>
      <c r="B58" s="4">
        <v>0</v>
      </c>
      <c r="C58" s="4">
        <v>0</v>
      </c>
      <c r="D58" s="4">
        <v>1</v>
      </c>
      <c r="E58" s="4">
        <v>224</v>
      </c>
      <c r="F58" s="4">
        <f>ROUND(Source!AR30,O58)</f>
        <v>1092.8499999999999</v>
      </c>
      <c r="G58" s="4" t="s">
        <v>81</v>
      </c>
      <c r="H58" s="4" t="s">
        <v>82</v>
      </c>
      <c r="I58" s="4"/>
      <c r="J58" s="4"/>
      <c r="K58" s="4">
        <v>224</v>
      </c>
      <c r="L58" s="4">
        <v>27</v>
      </c>
      <c r="M58" s="4">
        <v>3</v>
      </c>
      <c r="N58" s="4" t="s">
        <v>3</v>
      </c>
      <c r="O58" s="4">
        <v>2</v>
      </c>
      <c r="P58" s="4"/>
      <c r="Q58" s="4"/>
      <c r="R58" s="4"/>
      <c r="S58" s="4"/>
      <c r="T58" s="4"/>
      <c r="U58" s="4"/>
      <c r="V58" s="4"/>
      <c r="W58" s="4">
        <v>1092.8499999999999</v>
      </c>
      <c r="X58" s="4">
        <v>1</v>
      </c>
      <c r="Y58" s="4">
        <v>1092.8499999999999</v>
      </c>
      <c r="Z58" s="4"/>
      <c r="AA58" s="4"/>
      <c r="AB58" s="4"/>
    </row>
    <row r="60" spans="1:245" x14ac:dyDescent="0.2">
      <c r="A60" s="1">
        <v>4</v>
      </c>
      <c r="B60" s="1">
        <v>1</v>
      </c>
      <c r="C60" s="1"/>
      <c r="D60" s="1">
        <f>ROW(A69)</f>
        <v>69</v>
      </c>
      <c r="E60" s="1"/>
      <c r="F60" s="1" t="s">
        <v>15</v>
      </c>
      <c r="G60" s="1" t="s">
        <v>83</v>
      </c>
      <c r="H60" s="1" t="s">
        <v>3</v>
      </c>
      <c r="I60" s="1">
        <v>0</v>
      </c>
      <c r="J60" s="1"/>
      <c r="K60" s="1">
        <v>0</v>
      </c>
      <c r="L60" s="1"/>
      <c r="M60" s="1" t="s">
        <v>3</v>
      </c>
      <c r="N60" s="1"/>
      <c r="O60" s="1"/>
      <c r="P60" s="1"/>
      <c r="Q60" s="1"/>
      <c r="R60" s="1"/>
      <c r="S60" s="1">
        <v>0</v>
      </c>
      <c r="T60" s="1"/>
      <c r="U60" s="1" t="s">
        <v>3</v>
      </c>
      <c r="V60" s="1">
        <v>0</v>
      </c>
      <c r="W60" s="1"/>
      <c r="X60" s="1"/>
      <c r="Y60" s="1"/>
      <c r="Z60" s="1"/>
      <c r="AA60" s="1"/>
      <c r="AB60" s="1" t="s">
        <v>3</v>
      </c>
      <c r="AC60" s="1" t="s">
        <v>3</v>
      </c>
      <c r="AD60" s="1" t="s">
        <v>3</v>
      </c>
      <c r="AE60" s="1" t="s">
        <v>3</v>
      </c>
      <c r="AF60" s="1" t="s">
        <v>3</v>
      </c>
      <c r="AG60" s="1" t="s">
        <v>3</v>
      </c>
      <c r="AH60" s="1"/>
      <c r="AI60" s="1"/>
      <c r="AJ60" s="1"/>
      <c r="AK60" s="1"/>
      <c r="AL60" s="1"/>
      <c r="AM60" s="1"/>
      <c r="AN60" s="1"/>
      <c r="AO60" s="1"/>
      <c r="AP60" s="1" t="s">
        <v>3</v>
      </c>
      <c r="AQ60" s="1" t="s">
        <v>3</v>
      </c>
      <c r="AR60" s="1" t="s">
        <v>3</v>
      </c>
      <c r="AS60" s="1"/>
      <c r="AT60" s="1"/>
      <c r="AU60" s="1"/>
      <c r="AV60" s="1"/>
      <c r="AW60" s="1"/>
      <c r="AX60" s="1"/>
      <c r="AY60" s="1"/>
      <c r="AZ60" s="1" t="s">
        <v>3</v>
      </c>
      <c r="BA60" s="1"/>
      <c r="BB60" s="1" t="s">
        <v>3</v>
      </c>
      <c r="BC60" s="1" t="s">
        <v>3</v>
      </c>
      <c r="BD60" s="1" t="s">
        <v>3</v>
      </c>
      <c r="BE60" s="1" t="s">
        <v>3</v>
      </c>
      <c r="BF60" s="1" t="s">
        <v>3</v>
      </c>
      <c r="BG60" s="1" t="s">
        <v>3</v>
      </c>
      <c r="BH60" s="1" t="s">
        <v>3</v>
      </c>
      <c r="BI60" s="1" t="s">
        <v>3</v>
      </c>
      <c r="BJ60" s="1" t="s">
        <v>3</v>
      </c>
      <c r="BK60" s="1" t="s">
        <v>3</v>
      </c>
      <c r="BL60" s="1" t="s">
        <v>3</v>
      </c>
      <c r="BM60" s="1" t="s">
        <v>3</v>
      </c>
      <c r="BN60" s="1" t="s">
        <v>3</v>
      </c>
      <c r="BO60" s="1" t="s">
        <v>3</v>
      </c>
      <c r="BP60" s="1" t="s">
        <v>3</v>
      </c>
      <c r="BQ60" s="1"/>
      <c r="BR60" s="1"/>
      <c r="BS60" s="1"/>
      <c r="BT60" s="1"/>
      <c r="BU60" s="1"/>
      <c r="BV60" s="1"/>
      <c r="BW60" s="1"/>
      <c r="BX60" s="1">
        <v>0</v>
      </c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>
        <v>0</v>
      </c>
    </row>
    <row r="62" spans="1:245" x14ac:dyDescent="0.2">
      <c r="A62" s="2">
        <v>52</v>
      </c>
      <c r="B62" s="2">
        <f t="shared" ref="B62:G62" si="23">B69</f>
        <v>1</v>
      </c>
      <c r="C62" s="2">
        <f t="shared" si="23"/>
        <v>4</v>
      </c>
      <c r="D62" s="2">
        <f t="shared" si="23"/>
        <v>60</v>
      </c>
      <c r="E62" s="2">
        <f t="shared" si="23"/>
        <v>0</v>
      </c>
      <c r="F62" s="2" t="str">
        <f t="shared" si="23"/>
        <v>Новый раздел</v>
      </c>
      <c r="G62" s="2" t="str">
        <f t="shared" si="23"/>
        <v>Монтаж концевой муфты</v>
      </c>
      <c r="H62" s="2"/>
      <c r="I62" s="2"/>
      <c r="J62" s="2"/>
      <c r="K62" s="2"/>
      <c r="L62" s="2"/>
      <c r="M62" s="2"/>
      <c r="N62" s="2"/>
      <c r="O62" s="2">
        <f t="shared" ref="O62:AT62" si="24">O69</f>
        <v>5771.2</v>
      </c>
      <c r="P62" s="2">
        <f t="shared" si="24"/>
        <v>4512.76</v>
      </c>
      <c r="Q62" s="2">
        <f t="shared" si="24"/>
        <v>0.68</v>
      </c>
      <c r="R62" s="2">
        <f t="shared" si="24"/>
        <v>0.38</v>
      </c>
      <c r="S62" s="2">
        <f t="shared" si="24"/>
        <v>1257.3800000000001</v>
      </c>
      <c r="T62" s="2">
        <f t="shared" si="24"/>
        <v>0</v>
      </c>
      <c r="U62" s="2">
        <f t="shared" si="24"/>
        <v>2.3832</v>
      </c>
      <c r="V62" s="2">
        <f t="shared" si="24"/>
        <v>5.9999999999999995E-4</v>
      </c>
      <c r="W62" s="2">
        <f t="shared" si="24"/>
        <v>0</v>
      </c>
      <c r="X62" s="2">
        <f t="shared" si="24"/>
        <v>1220.03</v>
      </c>
      <c r="Y62" s="2">
        <f t="shared" si="24"/>
        <v>641.46</v>
      </c>
      <c r="Z62" s="2">
        <f t="shared" si="24"/>
        <v>0</v>
      </c>
      <c r="AA62" s="2">
        <f t="shared" si="24"/>
        <v>0</v>
      </c>
      <c r="AB62" s="2">
        <f t="shared" si="24"/>
        <v>5771.2</v>
      </c>
      <c r="AC62" s="2">
        <f t="shared" si="24"/>
        <v>4512.76</v>
      </c>
      <c r="AD62" s="2">
        <f t="shared" si="24"/>
        <v>0.68</v>
      </c>
      <c r="AE62" s="2">
        <f t="shared" si="24"/>
        <v>0.38</v>
      </c>
      <c r="AF62" s="2">
        <f t="shared" si="24"/>
        <v>1257.3800000000001</v>
      </c>
      <c r="AG62" s="2">
        <f t="shared" si="24"/>
        <v>0</v>
      </c>
      <c r="AH62" s="2">
        <f t="shared" si="24"/>
        <v>2.3832</v>
      </c>
      <c r="AI62" s="2">
        <f t="shared" si="24"/>
        <v>5.9999999999999995E-4</v>
      </c>
      <c r="AJ62" s="2">
        <f t="shared" si="24"/>
        <v>0</v>
      </c>
      <c r="AK62" s="2">
        <f t="shared" si="24"/>
        <v>1220.03</v>
      </c>
      <c r="AL62" s="2">
        <f t="shared" si="24"/>
        <v>641.46</v>
      </c>
      <c r="AM62" s="2">
        <f t="shared" si="24"/>
        <v>0</v>
      </c>
      <c r="AN62" s="2">
        <f t="shared" si="24"/>
        <v>0</v>
      </c>
      <c r="AO62" s="2">
        <f t="shared" si="24"/>
        <v>0</v>
      </c>
      <c r="AP62" s="2">
        <f t="shared" si="24"/>
        <v>0</v>
      </c>
      <c r="AQ62" s="2">
        <f t="shared" si="24"/>
        <v>0</v>
      </c>
      <c r="AR62" s="2">
        <f t="shared" si="24"/>
        <v>7632.69</v>
      </c>
      <c r="AS62" s="2">
        <f t="shared" si="24"/>
        <v>0</v>
      </c>
      <c r="AT62" s="2">
        <f t="shared" si="24"/>
        <v>7632.69</v>
      </c>
      <c r="AU62" s="2">
        <f t="shared" ref="AU62:BZ62" si="25">AU69</f>
        <v>0</v>
      </c>
      <c r="AV62" s="2">
        <f t="shared" si="25"/>
        <v>4512.76</v>
      </c>
      <c r="AW62" s="2">
        <f t="shared" si="25"/>
        <v>4512.76</v>
      </c>
      <c r="AX62" s="2">
        <f t="shared" si="25"/>
        <v>0</v>
      </c>
      <c r="AY62" s="2">
        <f t="shared" si="25"/>
        <v>4512.76</v>
      </c>
      <c r="AZ62" s="2">
        <f t="shared" si="25"/>
        <v>0</v>
      </c>
      <c r="BA62" s="2">
        <f t="shared" si="25"/>
        <v>0</v>
      </c>
      <c r="BB62" s="2">
        <f t="shared" si="25"/>
        <v>0</v>
      </c>
      <c r="BC62" s="2">
        <f t="shared" si="25"/>
        <v>0</v>
      </c>
      <c r="BD62" s="2">
        <f t="shared" si="25"/>
        <v>0</v>
      </c>
      <c r="BE62" s="2">
        <f t="shared" si="25"/>
        <v>0</v>
      </c>
      <c r="BF62" s="2">
        <f t="shared" si="25"/>
        <v>0</v>
      </c>
      <c r="BG62" s="2">
        <f t="shared" si="25"/>
        <v>0</v>
      </c>
      <c r="BH62" s="2">
        <f t="shared" si="25"/>
        <v>0</v>
      </c>
      <c r="BI62" s="2">
        <f t="shared" si="25"/>
        <v>0</v>
      </c>
      <c r="BJ62" s="2">
        <f t="shared" si="25"/>
        <v>0</v>
      </c>
      <c r="BK62" s="2">
        <f t="shared" si="25"/>
        <v>0</v>
      </c>
      <c r="BL62" s="2">
        <f t="shared" si="25"/>
        <v>0</v>
      </c>
      <c r="BM62" s="2">
        <f t="shared" si="25"/>
        <v>0</v>
      </c>
      <c r="BN62" s="2">
        <f t="shared" si="25"/>
        <v>0</v>
      </c>
      <c r="BO62" s="2">
        <f t="shared" si="25"/>
        <v>0</v>
      </c>
      <c r="BP62" s="2">
        <f t="shared" si="25"/>
        <v>0</v>
      </c>
      <c r="BQ62" s="2">
        <f t="shared" si="25"/>
        <v>0</v>
      </c>
      <c r="BR62" s="2">
        <f t="shared" si="25"/>
        <v>0</v>
      </c>
      <c r="BS62" s="2">
        <f t="shared" si="25"/>
        <v>0</v>
      </c>
      <c r="BT62" s="2">
        <f t="shared" si="25"/>
        <v>0</v>
      </c>
      <c r="BU62" s="2">
        <f t="shared" si="25"/>
        <v>0</v>
      </c>
      <c r="BV62" s="2">
        <f t="shared" si="25"/>
        <v>0</v>
      </c>
      <c r="BW62" s="2">
        <f t="shared" si="25"/>
        <v>0</v>
      </c>
      <c r="BX62" s="2">
        <f t="shared" si="25"/>
        <v>0</v>
      </c>
      <c r="BY62" s="2">
        <f t="shared" si="25"/>
        <v>0</v>
      </c>
      <c r="BZ62" s="2">
        <f t="shared" si="25"/>
        <v>0</v>
      </c>
      <c r="CA62" s="2">
        <f t="shared" ref="CA62:DF62" si="26">CA69</f>
        <v>7632.69</v>
      </c>
      <c r="CB62" s="2">
        <f t="shared" si="26"/>
        <v>0</v>
      </c>
      <c r="CC62" s="2">
        <f t="shared" si="26"/>
        <v>7632.69</v>
      </c>
      <c r="CD62" s="2">
        <f t="shared" si="26"/>
        <v>0</v>
      </c>
      <c r="CE62" s="2">
        <f t="shared" si="26"/>
        <v>4512.76</v>
      </c>
      <c r="CF62" s="2">
        <f t="shared" si="26"/>
        <v>4512.76</v>
      </c>
      <c r="CG62" s="2">
        <f t="shared" si="26"/>
        <v>0</v>
      </c>
      <c r="CH62" s="2">
        <f t="shared" si="26"/>
        <v>4512.76</v>
      </c>
      <c r="CI62" s="2">
        <f t="shared" si="26"/>
        <v>0</v>
      </c>
      <c r="CJ62" s="2">
        <f t="shared" si="26"/>
        <v>0</v>
      </c>
      <c r="CK62" s="2">
        <f t="shared" si="26"/>
        <v>0</v>
      </c>
      <c r="CL62" s="2">
        <f t="shared" si="26"/>
        <v>0</v>
      </c>
      <c r="CM62" s="2">
        <f t="shared" si="26"/>
        <v>0</v>
      </c>
      <c r="CN62" s="2">
        <f t="shared" si="26"/>
        <v>0</v>
      </c>
      <c r="CO62" s="2">
        <f t="shared" si="26"/>
        <v>0</v>
      </c>
      <c r="CP62" s="2">
        <f t="shared" si="26"/>
        <v>0</v>
      </c>
      <c r="CQ62" s="2">
        <f t="shared" si="26"/>
        <v>0</v>
      </c>
      <c r="CR62" s="2">
        <f t="shared" si="26"/>
        <v>0</v>
      </c>
      <c r="CS62" s="2">
        <f t="shared" si="26"/>
        <v>0</v>
      </c>
      <c r="CT62" s="2">
        <f t="shared" si="26"/>
        <v>0</v>
      </c>
      <c r="CU62" s="2">
        <f t="shared" si="26"/>
        <v>0</v>
      </c>
      <c r="CV62" s="2">
        <f t="shared" si="26"/>
        <v>0</v>
      </c>
      <c r="CW62" s="2">
        <f t="shared" si="26"/>
        <v>0</v>
      </c>
      <c r="CX62" s="2">
        <f t="shared" si="26"/>
        <v>0</v>
      </c>
      <c r="CY62" s="2">
        <f t="shared" si="26"/>
        <v>0</v>
      </c>
      <c r="CZ62" s="2">
        <f t="shared" si="26"/>
        <v>0</v>
      </c>
      <c r="DA62" s="2">
        <f t="shared" si="26"/>
        <v>0</v>
      </c>
      <c r="DB62" s="2">
        <f t="shared" si="26"/>
        <v>0</v>
      </c>
      <c r="DC62" s="2">
        <f t="shared" si="26"/>
        <v>0</v>
      </c>
      <c r="DD62" s="2">
        <f t="shared" si="26"/>
        <v>0</v>
      </c>
      <c r="DE62" s="2">
        <f t="shared" si="26"/>
        <v>0</v>
      </c>
      <c r="DF62" s="2">
        <f t="shared" si="26"/>
        <v>0</v>
      </c>
      <c r="DG62" s="3">
        <f t="shared" ref="DG62:EL62" si="27">DG69</f>
        <v>0</v>
      </c>
      <c r="DH62" s="3">
        <f t="shared" si="27"/>
        <v>0</v>
      </c>
      <c r="DI62" s="3">
        <f t="shared" si="27"/>
        <v>0</v>
      </c>
      <c r="DJ62" s="3">
        <f t="shared" si="27"/>
        <v>0</v>
      </c>
      <c r="DK62" s="3">
        <f t="shared" si="27"/>
        <v>0</v>
      </c>
      <c r="DL62" s="3">
        <f t="shared" si="27"/>
        <v>0</v>
      </c>
      <c r="DM62" s="3">
        <f t="shared" si="27"/>
        <v>0</v>
      </c>
      <c r="DN62" s="3">
        <f t="shared" si="27"/>
        <v>0</v>
      </c>
      <c r="DO62" s="3">
        <f t="shared" si="27"/>
        <v>0</v>
      </c>
      <c r="DP62" s="3">
        <f t="shared" si="27"/>
        <v>0</v>
      </c>
      <c r="DQ62" s="3">
        <f t="shared" si="27"/>
        <v>0</v>
      </c>
      <c r="DR62" s="3">
        <f t="shared" si="27"/>
        <v>0</v>
      </c>
      <c r="DS62" s="3">
        <f t="shared" si="27"/>
        <v>0</v>
      </c>
      <c r="DT62" s="3">
        <f t="shared" si="27"/>
        <v>0</v>
      </c>
      <c r="DU62" s="3">
        <f t="shared" si="27"/>
        <v>0</v>
      </c>
      <c r="DV62" s="3">
        <f t="shared" si="27"/>
        <v>0</v>
      </c>
      <c r="DW62" s="3">
        <f t="shared" si="27"/>
        <v>0</v>
      </c>
      <c r="DX62" s="3">
        <f t="shared" si="27"/>
        <v>0</v>
      </c>
      <c r="DY62" s="3">
        <f t="shared" si="27"/>
        <v>0</v>
      </c>
      <c r="DZ62" s="3">
        <f t="shared" si="27"/>
        <v>0</v>
      </c>
      <c r="EA62" s="3">
        <f t="shared" si="27"/>
        <v>0</v>
      </c>
      <c r="EB62" s="3">
        <f t="shared" si="27"/>
        <v>0</v>
      </c>
      <c r="EC62" s="3">
        <f t="shared" si="27"/>
        <v>0</v>
      </c>
      <c r="ED62" s="3">
        <f t="shared" si="27"/>
        <v>0</v>
      </c>
      <c r="EE62" s="3">
        <f t="shared" si="27"/>
        <v>0</v>
      </c>
      <c r="EF62" s="3">
        <f t="shared" si="27"/>
        <v>0</v>
      </c>
      <c r="EG62" s="3">
        <f t="shared" si="27"/>
        <v>0</v>
      </c>
      <c r="EH62" s="3">
        <f t="shared" si="27"/>
        <v>0</v>
      </c>
      <c r="EI62" s="3">
        <f t="shared" si="27"/>
        <v>0</v>
      </c>
      <c r="EJ62" s="3">
        <f t="shared" si="27"/>
        <v>0</v>
      </c>
      <c r="EK62" s="3">
        <f t="shared" si="27"/>
        <v>0</v>
      </c>
      <c r="EL62" s="3">
        <f t="shared" si="27"/>
        <v>0</v>
      </c>
      <c r="EM62" s="3">
        <f t="shared" ref="EM62:FR62" si="28">EM69</f>
        <v>0</v>
      </c>
      <c r="EN62" s="3">
        <f t="shared" si="28"/>
        <v>0</v>
      </c>
      <c r="EO62" s="3">
        <f t="shared" si="28"/>
        <v>0</v>
      </c>
      <c r="EP62" s="3">
        <f t="shared" si="28"/>
        <v>0</v>
      </c>
      <c r="EQ62" s="3">
        <f t="shared" si="28"/>
        <v>0</v>
      </c>
      <c r="ER62" s="3">
        <f t="shared" si="28"/>
        <v>0</v>
      </c>
      <c r="ES62" s="3">
        <f t="shared" si="28"/>
        <v>0</v>
      </c>
      <c r="ET62" s="3">
        <f t="shared" si="28"/>
        <v>0</v>
      </c>
      <c r="EU62" s="3">
        <f t="shared" si="28"/>
        <v>0</v>
      </c>
      <c r="EV62" s="3">
        <f t="shared" si="28"/>
        <v>0</v>
      </c>
      <c r="EW62" s="3">
        <f t="shared" si="28"/>
        <v>0</v>
      </c>
      <c r="EX62" s="3">
        <f t="shared" si="28"/>
        <v>0</v>
      </c>
      <c r="EY62" s="3">
        <f t="shared" si="28"/>
        <v>0</v>
      </c>
      <c r="EZ62" s="3">
        <f t="shared" si="28"/>
        <v>0</v>
      </c>
      <c r="FA62" s="3">
        <f t="shared" si="28"/>
        <v>0</v>
      </c>
      <c r="FB62" s="3">
        <f t="shared" si="28"/>
        <v>0</v>
      </c>
      <c r="FC62" s="3">
        <f t="shared" si="28"/>
        <v>0</v>
      </c>
      <c r="FD62" s="3">
        <f t="shared" si="28"/>
        <v>0</v>
      </c>
      <c r="FE62" s="3">
        <f t="shared" si="28"/>
        <v>0</v>
      </c>
      <c r="FF62" s="3">
        <f t="shared" si="28"/>
        <v>0</v>
      </c>
      <c r="FG62" s="3">
        <f t="shared" si="28"/>
        <v>0</v>
      </c>
      <c r="FH62" s="3">
        <f t="shared" si="28"/>
        <v>0</v>
      </c>
      <c r="FI62" s="3">
        <f t="shared" si="28"/>
        <v>0</v>
      </c>
      <c r="FJ62" s="3">
        <f t="shared" si="28"/>
        <v>0</v>
      </c>
      <c r="FK62" s="3">
        <f t="shared" si="28"/>
        <v>0</v>
      </c>
      <c r="FL62" s="3">
        <f t="shared" si="28"/>
        <v>0</v>
      </c>
      <c r="FM62" s="3">
        <f t="shared" si="28"/>
        <v>0</v>
      </c>
      <c r="FN62" s="3">
        <f t="shared" si="28"/>
        <v>0</v>
      </c>
      <c r="FO62" s="3">
        <f t="shared" si="28"/>
        <v>0</v>
      </c>
      <c r="FP62" s="3">
        <f t="shared" si="28"/>
        <v>0</v>
      </c>
      <c r="FQ62" s="3">
        <f t="shared" si="28"/>
        <v>0</v>
      </c>
      <c r="FR62" s="3">
        <f t="shared" si="28"/>
        <v>0</v>
      </c>
      <c r="FS62" s="3">
        <f t="shared" ref="FS62:GX62" si="29">FS69</f>
        <v>0</v>
      </c>
      <c r="FT62" s="3">
        <f t="shared" si="29"/>
        <v>0</v>
      </c>
      <c r="FU62" s="3">
        <f t="shared" si="29"/>
        <v>0</v>
      </c>
      <c r="FV62" s="3">
        <f t="shared" si="29"/>
        <v>0</v>
      </c>
      <c r="FW62" s="3">
        <f t="shared" si="29"/>
        <v>0</v>
      </c>
      <c r="FX62" s="3">
        <f t="shared" si="29"/>
        <v>0</v>
      </c>
      <c r="FY62" s="3">
        <f t="shared" si="29"/>
        <v>0</v>
      </c>
      <c r="FZ62" s="3">
        <f t="shared" si="29"/>
        <v>0</v>
      </c>
      <c r="GA62" s="3">
        <f t="shared" si="29"/>
        <v>0</v>
      </c>
      <c r="GB62" s="3">
        <f t="shared" si="29"/>
        <v>0</v>
      </c>
      <c r="GC62" s="3">
        <f t="shared" si="29"/>
        <v>0</v>
      </c>
      <c r="GD62" s="3">
        <f t="shared" si="29"/>
        <v>0</v>
      </c>
      <c r="GE62" s="3">
        <f t="shared" si="29"/>
        <v>0</v>
      </c>
      <c r="GF62" s="3">
        <f t="shared" si="29"/>
        <v>0</v>
      </c>
      <c r="GG62" s="3">
        <f t="shared" si="29"/>
        <v>0</v>
      </c>
      <c r="GH62" s="3">
        <f t="shared" si="29"/>
        <v>0</v>
      </c>
      <c r="GI62" s="3">
        <f t="shared" si="29"/>
        <v>0</v>
      </c>
      <c r="GJ62" s="3">
        <f t="shared" si="29"/>
        <v>0</v>
      </c>
      <c r="GK62" s="3">
        <f t="shared" si="29"/>
        <v>0</v>
      </c>
      <c r="GL62" s="3">
        <f t="shared" si="29"/>
        <v>0</v>
      </c>
      <c r="GM62" s="3">
        <f t="shared" si="29"/>
        <v>0</v>
      </c>
      <c r="GN62" s="3">
        <f t="shared" si="29"/>
        <v>0</v>
      </c>
      <c r="GO62" s="3">
        <f t="shared" si="29"/>
        <v>0</v>
      </c>
      <c r="GP62" s="3">
        <f t="shared" si="29"/>
        <v>0</v>
      </c>
      <c r="GQ62" s="3">
        <f t="shared" si="29"/>
        <v>0</v>
      </c>
      <c r="GR62" s="3">
        <f t="shared" si="29"/>
        <v>0</v>
      </c>
      <c r="GS62" s="3">
        <f t="shared" si="29"/>
        <v>0</v>
      </c>
      <c r="GT62" s="3">
        <f t="shared" si="29"/>
        <v>0</v>
      </c>
      <c r="GU62" s="3">
        <f t="shared" si="29"/>
        <v>0</v>
      </c>
      <c r="GV62" s="3">
        <f t="shared" si="29"/>
        <v>0</v>
      </c>
      <c r="GW62" s="3">
        <f t="shared" si="29"/>
        <v>0</v>
      </c>
      <c r="GX62" s="3">
        <f t="shared" si="29"/>
        <v>0</v>
      </c>
    </row>
    <row r="64" spans="1:245" x14ac:dyDescent="0.2">
      <c r="A64">
        <v>17</v>
      </c>
      <c r="B64">
        <v>1</v>
      </c>
      <c r="C64">
        <f>ROW(SmtRes!A15)</f>
        <v>15</v>
      </c>
      <c r="D64">
        <f>ROW(EtalonRes!A16)</f>
        <v>16</v>
      </c>
      <c r="E64" t="s">
        <v>84</v>
      </c>
      <c r="F64" t="s">
        <v>85</v>
      </c>
      <c r="G64" t="s">
        <v>86</v>
      </c>
      <c r="H64" t="s">
        <v>87</v>
      </c>
      <c r="I64">
        <v>1</v>
      </c>
      <c r="J64">
        <v>0</v>
      </c>
      <c r="K64">
        <v>1</v>
      </c>
      <c r="O64">
        <f>ROUND(CP64,2)</f>
        <v>850.02</v>
      </c>
      <c r="P64">
        <f>SUMIF(SmtRes!AQ11:'SmtRes'!AQ15,"=1",SmtRes!DF11:'SmtRes'!DF15)</f>
        <v>121.92999999999999</v>
      </c>
      <c r="Q64">
        <f>SUMIF(SmtRes!AQ11:'SmtRes'!AQ15,"=1",SmtRes!DG11:'SmtRes'!DG15)</f>
        <v>0</v>
      </c>
      <c r="R64">
        <f>SUMIF(SmtRes!AQ11:'SmtRes'!AQ15,"=1",SmtRes!DH11:'SmtRes'!DH15)</f>
        <v>0</v>
      </c>
      <c r="S64">
        <f>SUMIF(SmtRes!AQ11:'SmtRes'!AQ15,"=1",SmtRes!DI11:'SmtRes'!DI15)</f>
        <v>728.09</v>
      </c>
      <c r="T64">
        <f>ROUND(CU64*I64,2)</f>
        <v>0</v>
      </c>
      <c r="U64">
        <f>SUMIF(SmtRes!AQ11:'SmtRes'!AQ15,"=1",SmtRes!CV11:'SmtRes'!CV15)</f>
        <v>1.38</v>
      </c>
      <c r="V64">
        <f>SUMIF(SmtRes!AQ11:'SmtRes'!AQ15,"=1",SmtRes!CW11:'SmtRes'!CW15)</f>
        <v>0</v>
      </c>
      <c r="W64">
        <f>ROUND(CX64*I64,2)</f>
        <v>0</v>
      </c>
      <c r="X64">
        <f t="shared" ref="X64:Y67" si="30">ROUND(CY64,2)</f>
        <v>706.25</v>
      </c>
      <c r="Y64">
        <f t="shared" si="30"/>
        <v>371.33</v>
      </c>
      <c r="AA64">
        <v>88041693</v>
      </c>
      <c r="AB64">
        <f>ROUND((AC64+AD64+AF64),6)</f>
        <v>822.97028799999998</v>
      </c>
      <c r="AC64">
        <f>ROUND((SUM(SmtRes!BQ11:'SmtRes'!BQ15)),6)</f>
        <v>94.882288000000003</v>
      </c>
      <c r="AD64">
        <f>ROUND((((0)-(0))+AE64),6)</f>
        <v>0</v>
      </c>
      <c r="AE64">
        <f>ROUND((0),6)</f>
        <v>0</v>
      </c>
      <c r="AF64">
        <f>ROUND((SUM(SmtRes!BT11:'SmtRes'!BT15)),6)</f>
        <v>728.08799999999997</v>
      </c>
      <c r="AG64">
        <f>ROUND((AP64),6)</f>
        <v>0</v>
      </c>
      <c r="AH64">
        <f>(SUM(SmtRes!BU11:'SmtRes'!BU15))</f>
        <v>1.38</v>
      </c>
      <c r="AI64">
        <f>(0)</f>
        <v>0</v>
      </c>
      <c r="AJ64">
        <f>(AS64)</f>
        <v>0</v>
      </c>
      <c r="AK64">
        <v>822.97028799999998</v>
      </c>
      <c r="AL64">
        <v>94.882288000000003</v>
      </c>
      <c r="AM64">
        <v>0</v>
      </c>
      <c r="AN64">
        <v>0</v>
      </c>
      <c r="AO64">
        <v>728.08799999999997</v>
      </c>
      <c r="AP64">
        <v>0</v>
      </c>
      <c r="AQ64">
        <v>1.38</v>
      </c>
      <c r="AR64">
        <v>0</v>
      </c>
      <c r="AS64">
        <v>0</v>
      </c>
      <c r="AT64">
        <v>97</v>
      </c>
      <c r="AU64">
        <v>51</v>
      </c>
      <c r="AV64">
        <v>1</v>
      </c>
      <c r="AW64">
        <v>1</v>
      </c>
      <c r="AZ64">
        <v>1</v>
      </c>
      <c r="BA64">
        <v>1</v>
      </c>
      <c r="BB64">
        <v>1</v>
      </c>
      <c r="BC64">
        <v>1</v>
      </c>
      <c r="BD64" t="s">
        <v>3</v>
      </c>
      <c r="BE64" t="s">
        <v>3</v>
      </c>
      <c r="BF64" t="s">
        <v>3</v>
      </c>
      <c r="BG64" t="s">
        <v>3</v>
      </c>
      <c r="BH64">
        <v>0</v>
      </c>
      <c r="BI64">
        <v>2</v>
      </c>
      <c r="BJ64" t="s">
        <v>88</v>
      </c>
      <c r="BM64">
        <v>108001</v>
      </c>
      <c r="BN64">
        <v>0</v>
      </c>
      <c r="BO64" t="s">
        <v>3</v>
      </c>
      <c r="BP64">
        <v>0</v>
      </c>
      <c r="BQ64">
        <v>3</v>
      </c>
      <c r="BR64">
        <v>0</v>
      </c>
      <c r="BS64">
        <v>1</v>
      </c>
      <c r="BT64">
        <v>1</v>
      </c>
      <c r="BU64">
        <v>1</v>
      </c>
      <c r="BV64">
        <v>1</v>
      </c>
      <c r="BW64">
        <v>1</v>
      </c>
      <c r="BX64">
        <v>1</v>
      </c>
      <c r="BY64" t="s">
        <v>3</v>
      </c>
      <c r="BZ64">
        <v>97</v>
      </c>
      <c r="CA64">
        <v>51</v>
      </c>
      <c r="CB64" t="s">
        <v>3</v>
      </c>
      <c r="CE64">
        <v>0</v>
      </c>
      <c r="CF64">
        <v>0</v>
      </c>
      <c r="CG64">
        <v>0</v>
      </c>
      <c r="CM64">
        <v>0</v>
      </c>
      <c r="CN64" t="s">
        <v>3</v>
      </c>
      <c r="CO64">
        <v>0</v>
      </c>
      <c r="CP64">
        <f>(P64+Q64+S64+R64)</f>
        <v>850.02</v>
      </c>
      <c r="CQ64">
        <f>SUMIF(SmtRes!AQ11:'SmtRes'!AQ15,"=1",SmtRes!AA11:'SmtRes'!AA15)</f>
        <v>280035.58</v>
      </c>
      <c r="CR64">
        <f>SUMIF(SmtRes!AQ11:'SmtRes'!AQ15,"=1",SmtRes!AB11:'SmtRes'!AB15)</f>
        <v>0</v>
      </c>
      <c r="CS64">
        <f>SUMIF(SmtRes!AQ11:'SmtRes'!AQ15,"=1",SmtRes!AC11:'SmtRes'!AC15)</f>
        <v>0</v>
      </c>
      <c r="CT64">
        <f>SUMIF(SmtRes!AQ11:'SmtRes'!AQ15,"=1",SmtRes!AD11:'SmtRes'!AD15)</f>
        <v>527.6</v>
      </c>
      <c r="CU64">
        <f>AG64</f>
        <v>0</v>
      </c>
      <c r="CV64">
        <f>SUMIF(SmtRes!AQ11:'SmtRes'!AQ15,"=1",SmtRes!BU11:'SmtRes'!BU15)</f>
        <v>1.38</v>
      </c>
      <c r="CW64">
        <f>SUMIF(SmtRes!AQ11:'SmtRes'!AQ15,"=1",SmtRes!BV11:'SmtRes'!BV15)</f>
        <v>0</v>
      </c>
      <c r="CX64">
        <f>AJ64</f>
        <v>0</v>
      </c>
      <c r="CY64">
        <f>(((S64+R64)*AT64)/100)</f>
        <v>706.2473</v>
      </c>
      <c r="CZ64">
        <f>(((S64+R64)*AU64)/100)</f>
        <v>371.32590000000005</v>
      </c>
      <c r="DC64" t="s">
        <v>3</v>
      </c>
      <c r="DD64" t="s">
        <v>3</v>
      </c>
      <c r="DE64" t="s">
        <v>3</v>
      </c>
      <c r="DF64" t="s">
        <v>3</v>
      </c>
      <c r="DG64" t="s">
        <v>3</v>
      </c>
      <c r="DH64" t="s">
        <v>3</v>
      </c>
      <c r="DI64" t="s">
        <v>3</v>
      </c>
      <c r="DJ64" t="s">
        <v>3</v>
      </c>
      <c r="DK64" t="s">
        <v>3</v>
      </c>
      <c r="DL64" t="s">
        <v>3</v>
      </c>
      <c r="DM64" t="s">
        <v>3</v>
      </c>
      <c r="DN64">
        <v>0</v>
      </c>
      <c r="DO64">
        <v>0</v>
      </c>
      <c r="DP64">
        <v>1</v>
      </c>
      <c r="DQ64">
        <v>1</v>
      </c>
      <c r="DU64">
        <v>1013</v>
      </c>
      <c r="DV64" t="s">
        <v>87</v>
      </c>
      <c r="DW64" t="s">
        <v>87</v>
      </c>
      <c r="DX64">
        <v>1</v>
      </c>
      <c r="DZ64" t="s">
        <v>3</v>
      </c>
      <c r="EA64" t="s">
        <v>3</v>
      </c>
      <c r="EB64" t="s">
        <v>3</v>
      </c>
      <c r="EC64" t="s">
        <v>3</v>
      </c>
      <c r="EE64">
        <v>86834858</v>
      </c>
      <c r="EF64">
        <v>3</v>
      </c>
      <c r="EG64" t="s">
        <v>23</v>
      </c>
      <c r="EH64">
        <v>0</v>
      </c>
      <c r="EI64" t="s">
        <v>3</v>
      </c>
      <c r="EJ64">
        <v>2</v>
      </c>
      <c r="EK64">
        <v>108001</v>
      </c>
      <c r="EL64" t="s">
        <v>24</v>
      </c>
      <c r="EM64" t="s">
        <v>25</v>
      </c>
      <c r="EO64" t="s">
        <v>3</v>
      </c>
      <c r="EQ64">
        <v>256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1.38</v>
      </c>
      <c r="EX64">
        <v>0</v>
      </c>
      <c r="EY64">
        <v>0</v>
      </c>
      <c r="FQ64">
        <v>0</v>
      </c>
      <c r="FR64">
        <v>0</v>
      </c>
      <c r="FS64">
        <v>0</v>
      </c>
      <c r="FX64">
        <v>97</v>
      </c>
      <c r="FY64">
        <v>51</v>
      </c>
      <c r="GA64" t="s">
        <v>3</v>
      </c>
      <c r="GD64">
        <v>1</v>
      </c>
      <c r="GF64">
        <v>-531459728</v>
      </c>
      <c r="GG64">
        <v>2</v>
      </c>
      <c r="GH64">
        <v>1</v>
      </c>
      <c r="GI64">
        <v>-2</v>
      </c>
      <c r="GJ64">
        <v>0</v>
      </c>
      <c r="GK64">
        <v>0</v>
      </c>
      <c r="GL64">
        <f>ROUND(IF(AND(BH64=3,BI64=3,FS64&lt;&gt;0),P64,0),2)</f>
        <v>0</v>
      </c>
      <c r="GM64">
        <f>ROUND(O64+X64+Y64,2)+GX64</f>
        <v>1927.6</v>
      </c>
      <c r="GN64">
        <f>IF(OR(BI64=0,BI64=1),GM64-GX64,0)</f>
        <v>0</v>
      </c>
      <c r="GO64">
        <f>IF(BI64=2,GM64-GX64,0)</f>
        <v>1927.6</v>
      </c>
      <c r="GP64">
        <f>IF(BI64=4,GM64-GX64,0)</f>
        <v>0</v>
      </c>
      <c r="GR64">
        <v>0</v>
      </c>
      <c r="GS64">
        <v>0</v>
      </c>
      <c r="GT64">
        <v>0</v>
      </c>
      <c r="GU64" t="s">
        <v>3</v>
      </c>
      <c r="GV64">
        <f>ROUND((GT64),6)</f>
        <v>0</v>
      </c>
      <c r="GW64">
        <v>1</v>
      </c>
      <c r="GX64">
        <f>ROUND(HC64*I64,2)</f>
        <v>0</v>
      </c>
      <c r="HA64">
        <v>0</v>
      </c>
      <c r="HB64">
        <v>0</v>
      </c>
      <c r="HC64">
        <f>GV64*GW64</f>
        <v>0</v>
      </c>
      <c r="HE64" t="s">
        <v>3</v>
      </c>
      <c r="HF64" t="s">
        <v>3</v>
      </c>
      <c r="HM64" t="s">
        <v>3</v>
      </c>
      <c r="HN64" t="s">
        <v>27</v>
      </c>
      <c r="HO64" t="s">
        <v>28</v>
      </c>
      <c r="HP64" t="s">
        <v>24</v>
      </c>
      <c r="HQ64" t="s">
        <v>24</v>
      </c>
      <c r="HS64">
        <v>0</v>
      </c>
      <c r="IK64">
        <v>0</v>
      </c>
    </row>
    <row r="65" spans="1:245" x14ac:dyDescent="0.2">
      <c r="A65">
        <v>18</v>
      </c>
      <c r="B65">
        <v>1</v>
      </c>
      <c r="C65">
        <v>15</v>
      </c>
      <c r="E65" t="s">
        <v>89</v>
      </c>
      <c r="F65" t="s">
        <v>90</v>
      </c>
      <c r="G65" t="s">
        <v>91</v>
      </c>
      <c r="H65" t="s">
        <v>87</v>
      </c>
      <c r="I65">
        <f>I64*J65</f>
        <v>1</v>
      </c>
      <c r="J65">
        <v>1</v>
      </c>
      <c r="K65">
        <v>1</v>
      </c>
      <c r="O65">
        <f>ROUND(CP65,2)</f>
        <v>4388.75</v>
      </c>
      <c r="P65">
        <f>ROUND(CQ65*I65,2)</f>
        <v>4388.75</v>
      </c>
      <c r="Q65">
        <f>ROUND(CR65*I65,2)</f>
        <v>0</v>
      </c>
      <c r="R65">
        <f>ROUND(CS65*I65,2)</f>
        <v>0</v>
      </c>
      <c r="S65">
        <f>ROUND(CT65*I65,2)</f>
        <v>0</v>
      </c>
      <c r="T65">
        <f>ROUND(CU65*I65,2)</f>
        <v>0</v>
      </c>
      <c r="U65">
        <f>ROUND(CV65*I65,7)</f>
        <v>0</v>
      </c>
      <c r="V65">
        <f>ROUND(CW65*I65,7)</f>
        <v>0</v>
      </c>
      <c r="W65">
        <f>ROUND(CX65*I65,2)</f>
        <v>0</v>
      </c>
      <c r="X65">
        <f t="shared" si="30"/>
        <v>0</v>
      </c>
      <c r="Y65">
        <f t="shared" si="30"/>
        <v>0</v>
      </c>
      <c r="AA65">
        <v>88041693</v>
      </c>
      <c r="AB65">
        <f>ROUND((AC65+AD65+AF65),6)</f>
        <v>4388.75</v>
      </c>
      <c r="AC65">
        <f>ROUND((ES65),6)</f>
        <v>4388.75</v>
      </c>
      <c r="AD65">
        <f>ROUND((((ET65)-(EU65))+AE65),6)</f>
        <v>0</v>
      </c>
      <c r="AE65">
        <f>ROUND((EU65),6)</f>
        <v>0</v>
      </c>
      <c r="AF65">
        <f>ROUND((EV65),6)</f>
        <v>0</v>
      </c>
      <c r="AG65">
        <f>ROUND((AP65),6)</f>
        <v>0</v>
      </c>
      <c r="AH65">
        <f>(EW65)</f>
        <v>0</v>
      </c>
      <c r="AI65">
        <f>(EX65)</f>
        <v>0</v>
      </c>
      <c r="AJ65">
        <f>(AS65)</f>
        <v>0</v>
      </c>
      <c r="AK65">
        <v>4388.75</v>
      </c>
      <c r="AL65">
        <v>4388.75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97</v>
      </c>
      <c r="AU65">
        <v>51</v>
      </c>
      <c r="AV65">
        <v>1</v>
      </c>
      <c r="AW65">
        <v>1</v>
      </c>
      <c r="AZ65">
        <v>1</v>
      </c>
      <c r="BA65">
        <v>1</v>
      </c>
      <c r="BB65">
        <v>1</v>
      </c>
      <c r="BC65">
        <v>1</v>
      </c>
      <c r="BD65" t="s">
        <v>3</v>
      </c>
      <c r="BE65" t="s">
        <v>3</v>
      </c>
      <c r="BF65" t="s">
        <v>3</v>
      </c>
      <c r="BG65" t="s">
        <v>3</v>
      </c>
      <c r="BH65">
        <v>3</v>
      </c>
      <c r="BI65">
        <v>2</v>
      </c>
      <c r="BJ65" t="s">
        <v>3</v>
      </c>
      <c r="BM65">
        <v>108001</v>
      </c>
      <c r="BN65">
        <v>0</v>
      </c>
      <c r="BO65" t="s">
        <v>3</v>
      </c>
      <c r="BP65">
        <v>0</v>
      </c>
      <c r="BQ65">
        <v>3</v>
      </c>
      <c r="BR65">
        <v>0</v>
      </c>
      <c r="BS65">
        <v>1</v>
      </c>
      <c r="BT65">
        <v>1</v>
      </c>
      <c r="BU65">
        <v>1</v>
      </c>
      <c r="BV65">
        <v>1</v>
      </c>
      <c r="BW65">
        <v>1</v>
      </c>
      <c r="BX65">
        <v>1</v>
      </c>
      <c r="BY65" t="s">
        <v>3</v>
      </c>
      <c r="BZ65">
        <v>97</v>
      </c>
      <c r="CA65">
        <v>51</v>
      </c>
      <c r="CB65" t="s">
        <v>3</v>
      </c>
      <c r="CE65">
        <v>0</v>
      </c>
      <c r="CF65">
        <v>0</v>
      </c>
      <c r="CG65">
        <v>0</v>
      </c>
      <c r="CM65">
        <v>0</v>
      </c>
      <c r="CN65" t="s">
        <v>3</v>
      </c>
      <c r="CO65">
        <v>0</v>
      </c>
      <c r="CP65">
        <f>(P65+Q65+S65+R65)</f>
        <v>4388.75</v>
      </c>
      <c r="CQ65">
        <f>ROUND(AL65,2)</f>
        <v>4388.75</v>
      </c>
      <c r="CR65">
        <f>ROUND(AM65,2)</f>
        <v>0</v>
      </c>
      <c r="CS65">
        <f>ROUND(AN65*BS65,2)</f>
        <v>0</v>
      </c>
      <c r="CT65">
        <f>ROUND(AO65*BA65,2)</f>
        <v>0</v>
      </c>
      <c r="CU65">
        <f>AG65</f>
        <v>0</v>
      </c>
      <c r="CV65">
        <f>AH65</f>
        <v>0</v>
      </c>
      <c r="CW65">
        <f>AI65</f>
        <v>0</v>
      </c>
      <c r="CX65">
        <f>AJ65</f>
        <v>0</v>
      </c>
      <c r="CY65">
        <f>(((S65+R65)*AT65)/100)</f>
        <v>0</v>
      </c>
      <c r="CZ65">
        <f>(((S65+R65)*AU65)/100)</f>
        <v>0</v>
      </c>
      <c r="DC65" t="s">
        <v>3</v>
      </c>
      <c r="DD65" t="s">
        <v>3</v>
      </c>
      <c r="DE65" t="s">
        <v>3</v>
      </c>
      <c r="DF65" t="s">
        <v>3</v>
      </c>
      <c r="DG65" t="s">
        <v>3</v>
      </c>
      <c r="DH65" t="s">
        <v>3</v>
      </c>
      <c r="DI65" t="s">
        <v>3</v>
      </c>
      <c r="DJ65" t="s">
        <v>3</v>
      </c>
      <c r="DK65" t="s">
        <v>3</v>
      </c>
      <c r="DL65" t="s">
        <v>3</v>
      </c>
      <c r="DM65" t="s">
        <v>3</v>
      </c>
      <c r="DN65">
        <v>0</v>
      </c>
      <c r="DO65">
        <v>0</v>
      </c>
      <c r="DP65">
        <v>1</v>
      </c>
      <c r="DQ65">
        <v>1</v>
      </c>
      <c r="DU65">
        <v>1013</v>
      </c>
      <c r="DV65" t="s">
        <v>87</v>
      </c>
      <c r="DW65" t="s">
        <v>87</v>
      </c>
      <c r="DX65">
        <v>1</v>
      </c>
      <c r="DZ65" t="s">
        <v>3</v>
      </c>
      <c r="EA65" t="s">
        <v>3</v>
      </c>
      <c r="EB65" t="s">
        <v>3</v>
      </c>
      <c r="EC65" t="s">
        <v>3</v>
      </c>
      <c r="EE65">
        <v>86834858</v>
      </c>
      <c r="EF65">
        <v>3</v>
      </c>
      <c r="EG65" t="s">
        <v>23</v>
      </c>
      <c r="EH65">
        <v>0</v>
      </c>
      <c r="EI65" t="s">
        <v>3</v>
      </c>
      <c r="EJ65">
        <v>2</v>
      </c>
      <c r="EK65">
        <v>108001</v>
      </c>
      <c r="EL65" t="s">
        <v>24</v>
      </c>
      <c r="EM65" t="s">
        <v>25</v>
      </c>
      <c r="EO65" t="s">
        <v>3</v>
      </c>
      <c r="EQ65">
        <v>256</v>
      </c>
      <c r="ER65">
        <v>4388.75</v>
      </c>
      <c r="ES65">
        <v>4388.75</v>
      </c>
      <c r="ET65">
        <v>0</v>
      </c>
      <c r="EU65">
        <v>0</v>
      </c>
      <c r="EV65">
        <v>0</v>
      </c>
      <c r="EW65">
        <v>0</v>
      </c>
      <c r="EX65">
        <v>0</v>
      </c>
      <c r="EZ65">
        <v>5</v>
      </c>
      <c r="FC65">
        <v>0</v>
      </c>
      <c r="FD65">
        <v>18</v>
      </c>
      <c r="FF65">
        <v>4388.75</v>
      </c>
      <c r="FQ65">
        <v>0</v>
      </c>
      <c r="FR65">
        <v>0</v>
      </c>
      <c r="FS65">
        <v>0</v>
      </c>
      <c r="FX65">
        <v>97</v>
      </c>
      <c r="FY65">
        <v>51</v>
      </c>
      <c r="GA65" t="s">
        <v>3</v>
      </c>
      <c r="GD65">
        <v>1</v>
      </c>
      <c r="GF65">
        <v>2063305651</v>
      </c>
      <c r="GG65">
        <v>2</v>
      </c>
      <c r="GH65">
        <v>3</v>
      </c>
      <c r="GI65">
        <v>-2</v>
      </c>
      <c r="GJ65">
        <v>0</v>
      </c>
      <c r="GK65">
        <v>0</v>
      </c>
      <c r="GL65">
        <f>ROUND(IF(AND(BH65=3,BI65=3,FS65&lt;&gt;0),P65,0),2)</f>
        <v>0</v>
      </c>
      <c r="GM65">
        <f>ROUND(O65+X65+Y65,2)+GX65</f>
        <v>4388.75</v>
      </c>
      <c r="GN65">
        <f>IF(OR(BI65=0,BI65=1),GM65-GX65,0)</f>
        <v>0</v>
      </c>
      <c r="GO65">
        <f>IF(BI65=2,GM65-GX65,0)</f>
        <v>4388.75</v>
      </c>
      <c r="GP65">
        <f>IF(BI65=4,GM65-GX65,0)</f>
        <v>0</v>
      </c>
      <c r="GR65">
        <v>1</v>
      </c>
      <c r="GS65">
        <v>1</v>
      </c>
      <c r="GT65">
        <v>0</v>
      </c>
      <c r="GU65" t="s">
        <v>3</v>
      </c>
      <c r="GV65">
        <f>ROUND((GT65),6)</f>
        <v>0</v>
      </c>
      <c r="GW65">
        <v>1</v>
      </c>
      <c r="GX65">
        <f>ROUND(HC65*I65,2)</f>
        <v>0</v>
      </c>
      <c r="HA65">
        <v>0</v>
      </c>
      <c r="HB65">
        <v>0</v>
      </c>
      <c r="HC65">
        <f>GV65*GW65</f>
        <v>0</v>
      </c>
      <c r="HE65" t="s">
        <v>3</v>
      </c>
      <c r="HF65" t="s">
        <v>3</v>
      </c>
      <c r="HG65">
        <f>ROUND(ROUND(AL65,2)*I65,2)</f>
        <v>4388.75</v>
      </c>
      <c r="HM65" t="s">
        <v>3</v>
      </c>
      <c r="HN65" t="s">
        <v>27</v>
      </c>
      <c r="HO65" t="s">
        <v>28</v>
      </c>
      <c r="HP65" t="s">
        <v>24</v>
      </c>
      <c r="HQ65" t="s">
        <v>24</v>
      </c>
      <c r="HS65">
        <v>0</v>
      </c>
      <c r="IK65">
        <v>0</v>
      </c>
    </row>
    <row r="66" spans="1:245" x14ac:dyDescent="0.2">
      <c r="A66">
        <v>17</v>
      </c>
      <c r="B66">
        <v>1</v>
      </c>
      <c r="C66">
        <f>ROW(SmtRes!A16)</f>
        <v>16</v>
      </c>
      <c r="D66">
        <f>ROW(EtalonRes!A18)</f>
        <v>18</v>
      </c>
      <c r="E66" t="s">
        <v>92</v>
      </c>
      <c r="F66" t="s">
        <v>93</v>
      </c>
      <c r="G66" t="s">
        <v>94</v>
      </c>
      <c r="H66" t="s">
        <v>95</v>
      </c>
      <c r="I66">
        <f>ROUND(3/100,7)</f>
        <v>0.03</v>
      </c>
      <c r="J66">
        <v>0</v>
      </c>
      <c r="K66">
        <f>ROUND(3/100,7)</f>
        <v>0.03</v>
      </c>
      <c r="O66">
        <f>ROUND(CP66,2)</f>
        <v>359.61</v>
      </c>
      <c r="P66">
        <f>SUMIF(SmtRes!AQ16:'SmtRes'!AQ16,"=1",SmtRes!DF16:'SmtRes'!DF16)</f>
        <v>0</v>
      </c>
      <c r="Q66">
        <f>SUMIF(SmtRes!AQ16:'SmtRes'!AQ16,"=1",SmtRes!DG16:'SmtRes'!DG16)</f>
        <v>0</v>
      </c>
      <c r="R66">
        <f>SUMIF(SmtRes!AQ16:'SmtRes'!AQ16,"=1",SmtRes!DH16:'SmtRes'!DH16)</f>
        <v>0</v>
      </c>
      <c r="S66">
        <f>SUMIF(SmtRes!AQ16:'SmtRes'!AQ16,"=1",SmtRes!DI16:'SmtRes'!DI16)</f>
        <v>359.61</v>
      </c>
      <c r="T66">
        <f>ROUND(CU66*I66,2)</f>
        <v>0</v>
      </c>
      <c r="U66">
        <f>SUMIF(SmtRes!AQ16:'SmtRes'!AQ16,"=1",SmtRes!CV16:'SmtRes'!CV16)</f>
        <v>0.68159999999999998</v>
      </c>
      <c r="V66">
        <f>SUMIF(SmtRes!AQ16:'SmtRes'!AQ16,"=1",SmtRes!CW16:'SmtRes'!CW16)</f>
        <v>0</v>
      </c>
      <c r="W66">
        <f>ROUND(CX66*I66,2)</f>
        <v>0</v>
      </c>
      <c r="X66">
        <f t="shared" si="30"/>
        <v>348.82</v>
      </c>
      <c r="Y66">
        <f t="shared" si="30"/>
        <v>183.4</v>
      </c>
      <c r="AA66">
        <v>88041693</v>
      </c>
      <c r="AB66">
        <f>ROUND((AC66+AD66+AF66),6)</f>
        <v>11987.072</v>
      </c>
      <c r="AC66">
        <f>ROUND((0),6)</f>
        <v>0</v>
      </c>
      <c r="AD66">
        <f>ROUND((((0)-(0))+AE66),6)</f>
        <v>0</v>
      </c>
      <c r="AE66">
        <f>ROUND((0),6)</f>
        <v>0</v>
      </c>
      <c r="AF66">
        <f>ROUND((SUM(SmtRes!BT16:'SmtRes'!BT16)),6)</f>
        <v>11987.072</v>
      </c>
      <c r="AG66">
        <f>ROUND((AP66),6)</f>
        <v>0</v>
      </c>
      <c r="AH66">
        <f>(SUM(SmtRes!BU16:'SmtRes'!BU16))</f>
        <v>22.72</v>
      </c>
      <c r="AI66">
        <f>(0)</f>
        <v>0</v>
      </c>
      <c r="AJ66">
        <f>(AS66)</f>
        <v>0</v>
      </c>
      <c r="AK66">
        <v>11987.072</v>
      </c>
      <c r="AL66">
        <v>0</v>
      </c>
      <c r="AM66">
        <v>0</v>
      </c>
      <c r="AN66">
        <v>0</v>
      </c>
      <c r="AO66">
        <v>11987.072</v>
      </c>
      <c r="AP66">
        <v>0</v>
      </c>
      <c r="AQ66">
        <v>22.72</v>
      </c>
      <c r="AR66">
        <v>0</v>
      </c>
      <c r="AS66">
        <v>0</v>
      </c>
      <c r="AT66">
        <v>97</v>
      </c>
      <c r="AU66">
        <v>51</v>
      </c>
      <c r="AV66">
        <v>1</v>
      </c>
      <c r="AW66">
        <v>1</v>
      </c>
      <c r="AZ66">
        <v>1</v>
      </c>
      <c r="BA66">
        <v>1</v>
      </c>
      <c r="BB66">
        <v>1</v>
      </c>
      <c r="BC66">
        <v>1</v>
      </c>
      <c r="BD66" t="s">
        <v>3</v>
      </c>
      <c r="BE66" t="s">
        <v>3</v>
      </c>
      <c r="BF66" t="s">
        <v>3</v>
      </c>
      <c r="BG66" t="s">
        <v>3</v>
      </c>
      <c r="BH66">
        <v>0</v>
      </c>
      <c r="BI66">
        <v>2</v>
      </c>
      <c r="BJ66" t="s">
        <v>96</v>
      </c>
      <c r="BM66">
        <v>108001</v>
      </c>
      <c r="BN66">
        <v>0</v>
      </c>
      <c r="BO66" t="s">
        <v>3</v>
      </c>
      <c r="BP66">
        <v>0</v>
      </c>
      <c r="BQ66">
        <v>3</v>
      </c>
      <c r="BR66">
        <v>0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 t="s">
        <v>3</v>
      </c>
      <c r="BZ66">
        <v>97</v>
      </c>
      <c r="CA66">
        <v>51</v>
      </c>
      <c r="CB66" t="s">
        <v>3</v>
      </c>
      <c r="CE66">
        <v>0</v>
      </c>
      <c r="CF66">
        <v>0</v>
      </c>
      <c r="CG66">
        <v>0</v>
      </c>
      <c r="CM66">
        <v>0</v>
      </c>
      <c r="CN66" t="s">
        <v>3</v>
      </c>
      <c r="CO66">
        <v>0</v>
      </c>
      <c r="CP66">
        <f>(P66+Q66+S66+R66)</f>
        <v>359.61</v>
      </c>
      <c r="CQ66">
        <f>SUMIF(SmtRes!AQ16:'SmtRes'!AQ16,"=1",SmtRes!AA16:'SmtRes'!AA16)</f>
        <v>0</v>
      </c>
      <c r="CR66">
        <f>SUMIF(SmtRes!AQ16:'SmtRes'!AQ16,"=1",SmtRes!AB16:'SmtRes'!AB16)</f>
        <v>0</v>
      </c>
      <c r="CS66">
        <f>SUMIF(SmtRes!AQ16:'SmtRes'!AQ16,"=1",SmtRes!AC16:'SmtRes'!AC16)</f>
        <v>0</v>
      </c>
      <c r="CT66">
        <f>SUMIF(SmtRes!AQ16:'SmtRes'!AQ16,"=1",SmtRes!AD16:'SmtRes'!AD16)</f>
        <v>527.6</v>
      </c>
      <c r="CU66">
        <f>AG66</f>
        <v>0</v>
      </c>
      <c r="CV66">
        <f>SUMIF(SmtRes!AQ16:'SmtRes'!AQ16,"=1",SmtRes!BU16:'SmtRes'!BU16)</f>
        <v>22.72</v>
      </c>
      <c r="CW66">
        <f>SUMIF(SmtRes!AQ16:'SmtRes'!AQ16,"=1",SmtRes!BV16:'SmtRes'!BV16)</f>
        <v>0</v>
      </c>
      <c r="CX66">
        <f>AJ66</f>
        <v>0</v>
      </c>
      <c r="CY66">
        <f>(((S66+R66)*AT66)/100)</f>
        <v>348.82169999999996</v>
      </c>
      <c r="CZ66">
        <f>(((S66+R66)*AU66)/100)</f>
        <v>183.40110000000001</v>
      </c>
      <c r="DC66" t="s">
        <v>3</v>
      </c>
      <c r="DD66" t="s">
        <v>3</v>
      </c>
      <c r="DE66" t="s">
        <v>3</v>
      </c>
      <c r="DF66" t="s">
        <v>3</v>
      </c>
      <c r="DG66" t="s">
        <v>3</v>
      </c>
      <c r="DH66" t="s">
        <v>3</v>
      </c>
      <c r="DI66" t="s">
        <v>3</v>
      </c>
      <c r="DJ66" t="s">
        <v>3</v>
      </c>
      <c r="DK66" t="s">
        <v>3</v>
      </c>
      <c r="DL66" t="s">
        <v>3</v>
      </c>
      <c r="DM66" t="s">
        <v>3</v>
      </c>
      <c r="DN66">
        <v>0</v>
      </c>
      <c r="DO66">
        <v>0</v>
      </c>
      <c r="DP66">
        <v>1</v>
      </c>
      <c r="DQ66">
        <v>1</v>
      </c>
      <c r="DU66">
        <v>1013</v>
      </c>
      <c r="DV66" t="s">
        <v>95</v>
      </c>
      <c r="DW66" t="s">
        <v>95</v>
      </c>
      <c r="DX66">
        <v>1</v>
      </c>
      <c r="DZ66" t="s">
        <v>3</v>
      </c>
      <c r="EA66" t="s">
        <v>3</v>
      </c>
      <c r="EB66" t="s">
        <v>3</v>
      </c>
      <c r="EC66" t="s">
        <v>3</v>
      </c>
      <c r="EE66">
        <v>86834858</v>
      </c>
      <c r="EF66">
        <v>3</v>
      </c>
      <c r="EG66" t="s">
        <v>23</v>
      </c>
      <c r="EH66">
        <v>0</v>
      </c>
      <c r="EI66" t="s">
        <v>3</v>
      </c>
      <c r="EJ66">
        <v>2</v>
      </c>
      <c r="EK66">
        <v>108001</v>
      </c>
      <c r="EL66" t="s">
        <v>24</v>
      </c>
      <c r="EM66" t="s">
        <v>25</v>
      </c>
      <c r="EO66" t="s">
        <v>3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22.72</v>
      </c>
      <c r="EX66">
        <v>0</v>
      </c>
      <c r="EY66">
        <v>0</v>
      </c>
      <c r="FQ66">
        <v>0</v>
      </c>
      <c r="FR66">
        <v>0</v>
      </c>
      <c r="FS66">
        <v>0</v>
      </c>
      <c r="FX66">
        <v>97</v>
      </c>
      <c r="FY66">
        <v>51</v>
      </c>
      <c r="GA66" t="s">
        <v>3</v>
      </c>
      <c r="GD66">
        <v>1</v>
      </c>
      <c r="GF66">
        <v>1405454150</v>
      </c>
      <c r="GG66">
        <v>2</v>
      </c>
      <c r="GH66">
        <v>1</v>
      </c>
      <c r="GI66">
        <v>-2</v>
      </c>
      <c r="GJ66">
        <v>0</v>
      </c>
      <c r="GK66">
        <v>0</v>
      </c>
      <c r="GL66">
        <f>ROUND(IF(AND(BH66=3,BI66=3,FS66&lt;&gt;0),P66,0),2)</f>
        <v>0</v>
      </c>
      <c r="GM66">
        <f>ROUND(O66+X66+Y66,2)+GX66</f>
        <v>891.83</v>
      </c>
      <c r="GN66">
        <f>IF(OR(BI66=0,BI66=1),GM66-GX66,0)</f>
        <v>0</v>
      </c>
      <c r="GO66">
        <f>IF(BI66=2,GM66-GX66,0)</f>
        <v>891.83</v>
      </c>
      <c r="GP66">
        <f>IF(BI66=4,GM66-GX66,0)</f>
        <v>0</v>
      </c>
      <c r="GR66">
        <v>0</v>
      </c>
      <c r="GS66">
        <v>0</v>
      </c>
      <c r="GT66">
        <v>0</v>
      </c>
      <c r="GU66" t="s">
        <v>3</v>
      </c>
      <c r="GV66">
        <f>ROUND((GT66),6)</f>
        <v>0</v>
      </c>
      <c r="GW66">
        <v>1</v>
      </c>
      <c r="GX66">
        <f>ROUND(HC66*I66,2)</f>
        <v>0</v>
      </c>
      <c r="HA66">
        <v>0</v>
      </c>
      <c r="HB66">
        <v>0</v>
      </c>
      <c r="HC66">
        <f>GV66*GW66</f>
        <v>0</v>
      </c>
      <c r="HE66" t="s">
        <v>3</v>
      </c>
      <c r="HF66" t="s">
        <v>3</v>
      </c>
      <c r="HM66" t="s">
        <v>3</v>
      </c>
      <c r="HN66" t="s">
        <v>27</v>
      </c>
      <c r="HO66" t="s">
        <v>28</v>
      </c>
      <c r="HP66" t="s">
        <v>24</v>
      </c>
      <c r="HQ66" t="s">
        <v>24</v>
      </c>
      <c r="HS66">
        <v>0</v>
      </c>
      <c r="IK66">
        <v>0</v>
      </c>
    </row>
    <row r="67" spans="1:245" x14ac:dyDescent="0.2">
      <c r="A67">
        <v>17</v>
      </c>
      <c r="B67">
        <v>1</v>
      </c>
      <c r="C67">
        <f>ROW(SmtRes!A23)</f>
        <v>23</v>
      </c>
      <c r="D67">
        <f>ROW(EtalonRes!A26)</f>
        <v>26</v>
      </c>
      <c r="E67" t="s">
        <v>97</v>
      </c>
      <c r="F67" t="s">
        <v>98</v>
      </c>
      <c r="G67" t="s">
        <v>99</v>
      </c>
      <c r="H67" t="s">
        <v>20</v>
      </c>
      <c r="I67">
        <f>ROUND(1/100,7)</f>
        <v>0.01</v>
      </c>
      <c r="J67">
        <v>0</v>
      </c>
      <c r="K67">
        <f>ROUND(1/100,7)</f>
        <v>0.01</v>
      </c>
      <c r="O67">
        <f>ROUND(CP67,2)</f>
        <v>172.82</v>
      </c>
      <c r="P67">
        <f>SUMIF(SmtRes!AQ17:'SmtRes'!AQ23,"=1",SmtRes!DF17:'SmtRes'!DF23)</f>
        <v>2.08</v>
      </c>
      <c r="Q67">
        <f>SUMIF(SmtRes!AQ17:'SmtRes'!AQ23,"=1",SmtRes!DG17:'SmtRes'!DG23)</f>
        <v>0.67999999999999994</v>
      </c>
      <c r="R67">
        <f>SUMIF(SmtRes!AQ17:'SmtRes'!AQ23,"=1",SmtRes!DH17:'SmtRes'!DH23)</f>
        <v>0.38</v>
      </c>
      <c r="S67">
        <f>SUMIF(SmtRes!AQ17:'SmtRes'!AQ23,"=1",SmtRes!DI17:'SmtRes'!DI23)</f>
        <v>169.68</v>
      </c>
      <c r="T67">
        <f>ROUND(CU67*I67,2)</f>
        <v>0</v>
      </c>
      <c r="U67">
        <f>SUMIF(SmtRes!AQ17:'SmtRes'!AQ23,"=1",SmtRes!CV17:'SmtRes'!CV23)</f>
        <v>0.3216</v>
      </c>
      <c r="V67">
        <f>SUMIF(SmtRes!AQ17:'SmtRes'!AQ23,"=1",SmtRes!CW17:'SmtRes'!CW23)</f>
        <v>5.9999999999999995E-4</v>
      </c>
      <c r="W67">
        <f>ROUND(CX67*I67,2)</f>
        <v>0</v>
      </c>
      <c r="X67">
        <f t="shared" si="30"/>
        <v>164.96</v>
      </c>
      <c r="Y67">
        <f t="shared" si="30"/>
        <v>86.73</v>
      </c>
      <c r="AA67">
        <v>88041693</v>
      </c>
      <c r="AB67">
        <f>ROUND((AC67+AD67+AF67),6)</f>
        <v>17207.287619999999</v>
      </c>
      <c r="AC67">
        <f>ROUND((SUM(SmtRes!BQ17:'SmtRes'!BQ23)),6)</f>
        <v>171.63192000000001</v>
      </c>
      <c r="AD67">
        <f>ROUND((((SUM(SmtRes!BR17:'SmtRes'!BR23))-(SUM(SmtRes!BS17:'SmtRes'!BS23)))+AE67),6)</f>
        <v>68.039699999999996</v>
      </c>
      <c r="AE67">
        <f>ROUND((SUM(SmtRes!BS17:'SmtRes'!BS23)),6)</f>
        <v>37.9392</v>
      </c>
      <c r="AF67">
        <f>ROUND((SUM(SmtRes!BT17:'SmtRes'!BT23)),6)</f>
        <v>16967.616000000002</v>
      </c>
      <c r="AG67">
        <f>ROUND((AP67),6)</f>
        <v>0</v>
      </c>
      <c r="AH67">
        <f>(SUM(SmtRes!BU17:'SmtRes'!BU23))</f>
        <v>32.159999999999997</v>
      </c>
      <c r="AI67">
        <f>(SUM(SmtRes!BV17:'SmtRes'!BV23))</f>
        <v>0.06</v>
      </c>
      <c r="AJ67">
        <f>(AS67)</f>
        <v>0</v>
      </c>
      <c r="AK67">
        <v>17245.22682</v>
      </c>
      <c r="AL67">
        <v>171.63191999999998</v>
      </c>
      <c r="AM67">
        <v>68.039699999999996</v>
      </c>
      <c r="AN67">
        <v>37.9392</v>
      </c>
      <c r="AO67">
        <v>16967.615999999998</v>
      </c>
      <c r="AP67">
        <v>0</v>
      </c>
      <c r="AQ67">
        <v>32.159999999999997</v>
      </c>
      <c r="AR67">
        <v>0.06</v>
      </c>
      <c r="AS67">
        <v>0</v>
      </c>
      <c r="AT67">
        <v>97</v>
      </c>
      <c r="AU67">
        <v>51</v>
      </c>
      <c r="AV67">
        <v>1</v>
      </c>
      <c r="AW67">
        <v>1</v>
      </c>
      <c r="AZ67">
        <v>1</v>
      </c>
      <c r="BA67">
        <v>1</v>
      </c>
      <c r="BB67">
        <v>1</v>
      </c>
      <c r="BC67">
        <v>1</v>
      </c>
      <c r="BD67" t="s">
        <v>3</v>
      </c>
      <c r="BE67" t="s">
        <v>3</v>
      </c>
      <c r="BF67" t="s">
        <v>3</v>
      </c>
      <c r="BG67" t="s">
        <v>3</v>
      </c>
      <c r="BH67">
        <v>0</v>
      </c>
      <c r="BI67">
        <v>2</v>
      </c>
      <c r="BJ67" t="s">
        <v>100</v>
      </c>
      <c r="BM67">
        <v>108001</v>
      </c>
      <c r="BN67">
        <v>0</v>
      </c>
      <c r="BO67" t="s">
        <v>3</v>
      </c>
      <c r="BP67">
        <v>0</v>
      </c>
      <c r="BQ67">
        <v>3</v>
      </c>
      <c r="BR67">
        <v>0</v>
      </c>
      <c r="BS67">
        <v>1</v>
      </c>
      <c r="BT67">
        <v>1</v>
      </c>
      <c r="BU67">
        <v>1</v>
      </c>
      <c r="BV67">
        <v>1</v>
      </c>
      <c r="BW67">
        <v>1</v>
      </c>
      <c r="BX67">
        <v>1</v>
      </c>
      <c r="BY67" t="s">
        <v>3</v>
      </c>
      <c r="BZ67">
        <v>97</v>
      </c>
      <c r="CA67">
        <v>51</v>
      </c>
      <c r="CB67" t="s">
        <v>3</v>
      </c>
      <c r="CE67">
        <v>0</v>
      </c>
      <c r="CF67">
        <v>0</v>
      </c>
      <c r="CG67">
        <v>0</v>
      </c>
      <c r="CM67">
        <v>0</v>
      </c>
      <c r="CN67" t="s">
        <v>3</v>
      </c>
      <c r="CO67">
        <v>0</v>
      </c>
      <c r="CP67">
        <f>(P67+Q67+S67+R67)</f>
        <v>172.82</v>
      </c>
      <c r="CQ67">
        <f>SUMIF(SmtRes!AQ17:'SmtRes'!AQ23,"=1",SmtRes!AA17:'SmtRes'!AA23)</f>
        <v>85.050000000000011</v>
      </c>
      <c r="CR67">
        <f>SUMIF(SmtRes!AQ17:'SmtRes'!AQ23,"=1",SmtRes!AB17:'SmtRes'!AB23)</f>
        <v>2267.9899999999998</v>
      </c>
      <c r="CS67">
        <f>SUMIF(SmtRes!AQ17:'SmtRes'!AQ23,"=1",SmtRes!AC17:'SmtRes'!AC23)</f>
        <v>1264.6400000000001</v>
      </c>
      <c r="CT67">
        <f>SUMIF(SmtRes!AQ17:'SmtRes'!AQ23,"=1",SmtRes!AD17:'SmtRes'!AD23)</f>
        <v>527.6</v>
      </c>
      <c r="CU67">
        <f>AG67</f>
        <v>0</v>
      </c>
      <c r="CV67">
        <f>SUMIF(SmtRes!AQ17:'SmtRes'!AQ23,"=1",SmtRes!BU17:'SmtRes'!BU23)</f>
        <v>32.159999999999997</v>
      </c>
      <c r="CW67">
        <f>SUMIF(SmtRes!AQ17:'SmtRes'!AQ23,"=1",SmtRes!BV17:'SmtRes'!BV23)</f>
        <v>0.06</v>
      </c>
      <c r="CX67">
        <f>AJ67</f>
        <v>0</v>
      </c>
      <c r="CY67">
        <f>(((S67+R67)*AT67)/100)</f>
        <v>164.95820000000001</v>
      </c>
      <c r="CZ67">
        <f>(((S67+R67)*AU67)/100)</f>
        <v>86.730599999999995</v>
      </c>
      <c r="DC67" t="s">
        <v>3</v>
      </c>
      <c r="DD67" t="s">
        <v>3</v>
      </c>
      <c r="DE67" t="s">
        <v>3</v>
      </c>
      <c r="DF67" t="s">
        <v>3</v>
      </c>
      <c r="DG67" t="s">
        <v>3</v>
      </c>
      <c r="DH67" t="s">
        <v>3</v>
      </c>
      <c r="DI67" t="s">
        <v>3</v>
      </c>
      <c r="DJ67" t="s">
        <v>3</v>
      </c>
      <c r="DK67" t="s">
        <v>3</v>
      </c>
      <c r="DL67" t="s">
        <v>3</v>
      </c>
      <c r="DM67" t="s">
        <v>3</v>
      </c>
      <c r="DN67">
        <v>0</v>
      </c>
      <c r="DO67">
        <v>0</v>
      </c>
      <c r="DP67">
        <v>1</v>
      </c>
      <c r="DQ67">
        <v>1</v>
      </c>
      <c r="DU67">
        <v>1003</v>
      </c>
      <c r="DV67" t="s">
        <v>20</v>
      </c>
      <c r="DW67" t="s">
        <v>20</v>
      </c>
      <c r="DX67">
        <v>100</v>
      </c>
      <c r="DZ67" t="s">
        <v>3</v>
      </c>
      <c r="EA67" t="s">
        <v>3</v>
      </c>
      <c r="EB67" t="s">
        <v>3</v>
      </c>
      <c r="EC67" t="s">
        <v>3</v>
      </c>
      <c r="EE67">
        <v>86834858</v>
      </c>
      <c r="EF67">
        <v>3</v>
      </c>
      <c r="EG67" t="s">
        <v>23</v>
      </c>
      <c r="EH67">
        <v>0</v>
      </c>
      <c r="EI67" t="s">
        <v>3</v>
      </c>
      <c r="EJ67">
        <v>2</v>
      </c>
      <c r="EK67">
        <v>108001</v>
      </c>
      <c r="EL67" t="s">
        <v>24</v>
      </c>
      <c r="EM67" t="s">
        <v>25</v>
      </c>
      <c r="EO67" t="s">
        <v>3</v>
      </c>
      <c r="EQ67">
        <v>256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32.159999999999997</v>
      </c>
      <c r="EX67">
        <v>0.06</v>
      </c>
      <c r="EY67">
        <v>0</v>
      </c>
      <c r="FQ67">
        <v>0</v>
      </c>
      <c r="FR67">
        <v>0</v>
      </c>
      <c r="FS67">
        <v>0</v>
      </c>
      <c r="FX67">
        <v>97</v>
      </c>
      <c r="FY67">
        <v>51</v>
      </c>
      <c r="GA67" t="s">
        <v>3</v>
      </c>
      <c r="GD67">
        <v>1</v>
      </c>
      <c r="GF67">
        <v>-1937436933</v>
      </c>
      <c r="GG67">
        <v>2</v>
      </c>
      <c r="GH67">
        <v>1</v>
      </c>
      <c r="GI67">
        <v>-2</v>
      </c>
      <c r="GJ67">
        <v>0</v>
      </c>
      <c r="GK67">
        <v>0</v>
      </c>
      <c r="GL67">
        <f>ROUND(IF(AND(BH67=3,BI67=3,FS67&lt;&gt;0),P67,0),2)</f>
        <v>0</v>
      </c>
      <c r="GM67">
        <f>ROUND(O67+X67+Y67,2)+GX67</f>
        <v>424.51</v>
      </c>
      <c r="GN67">
        <f>IF(OR(BI67=0,BI67=1),GM67-GX67,0)</f>
        <v>0</v>
      </c>
      <c r="GO67">
        <f>IF(BI67=2,GM67-GX67,0)</f>
        <v>424.51</v>
      </c>
      <c r="GP67">
        <f>IF(BI67=4,GM67-GX67,0)</f>
        <v>0</v>
      </c>
      <c r="GR67">
        <v>0</v>
      </c>
      <c r="GS67">
        <v>0</v>
      </c>
      <c r="GT67">
        <v>0</v>
      </c>
      <c r="GU67" t="s">
        <v>3</v>
      </c>
      <c r="GV67">
        <f>ROUND((GT67),6)</f>
        <v>0</v>
      </c>
      <c r="GW67">
        <v>1</v>
      </c>
      <c r="GX67">
        <f>ROUND(HC67*I67,2)</f>
        <v>0</v>
      </c>
      <c r="HA67">
        <v>0</v>
      </c>
      <c r="HB67">
        <v>0</v>
      </c>
      <c r="HC67">
        <f>GV67*GW67</f>
        <v>0</v>
      </c>
      <c r="HE67" t="s">
        <v>3</v>
      </c>
      <c r="HF67" t="s">
        <v>3</v>
      </c>
      <c r="HM67" t="s">
        <v>3</v>
      </c>
      <c r="HN67" t="s">
        <v>27</v>
      </c>
      <c r="HO67" t="s">
        <v>28</v>
      </c>
      <c r="HP67" t="s">
        <v>24</v>
      </c>
      <c r="HQ67" t="s">
        <v>24</v>
      </c>
      <c r="HS67">
        <v>0</v>
      </c>
      <c r="IK67">
        <v>0</v>
      </c>
    </row>
    <row r="69" spans="1:245" x14ac:dyDescent="0.2">
      <c r="A69" s="2">
        <v>51</v>
      </c>
      <c r="B69" s="2">
        <f>B60</f>
        <v>1</v>
      </c>
      <c r="C69" s="2">
        <f>A60</f>
        <v>4</v>
      </c>
      <c r="D69" s="2">
        <f>ROW(A60)</f>
        <v>60</v>
      </c>
      <c r="E69" s="2"/>
      <c r="F69" s="2" t="str">
        <f>IF(F60&lt;&gt;"",F60,"")</f>
        <v>Новый раздел</v>
      </c>
      <c r="G69" s="2" t="str">
        <f>IF(G60&lt;&gt;"",G60,"")</f>
        <v>Монтаж концевой муфты</v>
      </c>
      <c r="H69" s="2">
        <v>0</v>
      </c>
      <c r="I69" s="2"/>
      <c r="J69" s="2"/>
      <c r="K69" s="2"/>
      <c r="L69" s="2"/>
      <c r="M69" s="2"/>
      <c r="N69" s="2"/>
      <c r="O69" s="2">
        <f t="shared" ref="O69:T69" si="31">ROUND(AB69,2)</f>
        <v>5771.2</v>
      </c>
      <c r="P69" s="2">
        <f t="shared" si="31"/>
        <v>4512.76</v>
      </c>
      <c r="Q69" s="2">
        <f t="shared" si="31"/>
        <v>0.68</v>
      </c>
      <c r="R69" s="2">
        <f t="shared" si="31"/>
        <v>0.38</v>
      </c>
      <c r="S69" s="2">
        <f t="shared" si="31"/>
        <v>1257.3800000000001</v>
      </c>
      <c r="T69" s="2">
        <f t="shared" si="31"/>
        <v>0</v>
      </c>
      <c r="U69" s="2">
        <f>AH69</f>
        <v>2.3832</v>
      </c>
      <c r="V69" s="2">
        <f>AI69</f>
        <v>5.9999999999999995E-4</v>
      </c>
      <c r="W69" s="2">
        <f>ROUND(AJ69,2)</f>
        <v>0</v>
      </c>
      <c r="X69" s="2">
        <f>ROUND(AK69,2)</f>
        <v>1220.03</v>
      </c>
      <c r="Y69" s="2">
        <f>ROUND(AL69,2)</f>
        <v>641.46</v>
      </c>
      <c r="Z69" s="2"/>
      <c r="AA69" s="2"/>
      <c r="AB69" s="2">
        <f>ROUND(SUMIF(AA64:AA67,"=88041693",O64:O67),2)</f>
        <v>5771.2</v>
      </c>
      <c r="AC69" s="2">
        <f>ROUND(SUMIF(AA64:AA67,"=88041693",P64:P67),2)</f>
        <v>4512.76</v>
      </c>
      <c r="AD69" s="2">
        <f>ROUND(SUMIF(AA64:AA67,"=88041693",Q64:Q67),2)</f>
        <v>0.68</v>
      </c>
      <c r="AE69" s="2">
        <f>ROUND(SUMIF(AA64:AA67,"=88041693",R64:R67),2)</f>
        <v>0.38</v>
      </c>
      <c r="AF69" s="2">
        <f>ROUND(SUMIF(AA64:AA67,"=88041693",S64:S67),2)</f>
        <v>1257.3800000000001</v>
      </c>
      <c r="AG69" s="2">
        <f>ROUND(SUMIF(AA64:AA67,"=88041693",T64:T67),2)</f>
        <v>0</v>
      </c>
      <c r="AH69" s="2">
        <f>SUMIF(AA64:AA67,"=88041693",U64:U67)</f>
        <v>2.3832</v>
      </c>
      <c r="AI69" s="2">
        <f>SUMIF(AA64:AA67,"=88041693",V64:V67)</f>
        <v>5.9999999999999995E-4</v>
      </c>
      <c r="AJ69" s="2">
        <f>ROUND(SUMIF(AA64:AA67,"=88041693",W64:W67),2)</f>
        <v>0</v>
      </c>
      <c r="AK69" s="2">
        <f>ROUND(SUMIF(AA64:AA67,"=88041693",X64:X67),2)</f>
        <v>1220.03</v>
      </c>
      <c r="AL69" s="2">
        <f>ROUND(SUMIF(AA64:AA67,"=88041693",Y64:Y67),2)</f>
        <v>641.46</v>
      </c>
      <c r="AM69" s="2"/>
      <c r="AN69" s="2"/>
      <c r="AO69" s="2">
        <f t="shared" ref="AO69:BD69" si="32">ROUND(BX69,2)</f>
        <v>0</v>
      </c>
      <c r="AP69" s="2">
        <f t="shared" si="32"/>
        <v>0</v>
      </c>
      <c r="AQ69" s="2">
        <f t="shared" si="32"/>
        <v>0</v>
      </c>
      <c r="AR69" s="2">
        <f t="shared" si="32"/>
        <v>7632.69</v>
      </c>
      <c r="AS69" s="2">
        <f t="shared" si="32"/>
        <v>0</v>
      </c>
      <c r="AT69" s="2">
        <f t="shared" si="32"/>
        <v>7632.69</v>
      </c>
      <c r="AU69" s="2">
        <f t="shared" si="32"/>
        <v>0</v>
      </c>
      <c r="AV69" s="2">
        <f t="shared" si="32"/>
        <v>4512.76</v>
      </c>
      <c r="AW69" s="2">
        <f t="shared" si="32"/>
        <v>4512.76</v>
      </c>
      <c r="AX69" s="2">
        <f t="shared" si="32"/>
        <v>0</v>
      </c>
      <c r="AY69" s="2">
        <f t="shared" si="32"/>
        <v>4512.76</v>
      </c>
      <c r="AZ69" s="2">
        <f t="shared" si="32"/>
        <v>0</v>
      </c>
      <c r="BA69" s="2">
        <f t="shared" si="32"/>
        <v>0</v>
      </c>
      <c r="BB69" s="2">
        <f t="shared" si="32"/>
        <v>0</v>
      </c>
      <c r="BC69" s="2">
        <f t="shared" si="32"/>
        <v>0</v>
      </c>
      <c r="BD69" s="2">
        <f t="shared" si="32"/>
        <v>0</v>
      </c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>
        <f>ROUND(SUMIF(AA64:AA67,"=88041693",FQ64:FQ67),2)</f>
        <v>0</v>
      </c>
      <c r="BY69" s="2">
        <f>ROUND(SUMIF(AA64:AA67,"=88041693",FR64:FR67),2)</f>
        <v>0</v>
      </c>
      <c r="BZ69" s="2">
        <f>ROUND(SUMIF(AA64:AA67,"=88041693",GL64:GL67),2)</f>
        <v>0</v>
      </c>
      <c r="CA69" s="2">
        <f>ROUND(SUMIF(AA64:AA67,"=88041693",GM64:GM67),2)</f>
        <v>7632.69</v>
      </c>
      <c r="CB69" s="2">
        <f>ROUND(SUMIF(AA64:AA67,"=88041693",GN64:GN67),2)</f>
        <v>0</v>
      </c>
      <c r="CC69" s="2">
        <f>ROUND(SUMIF(AA64:AA67,"=88041693",GO64:GO67),2)</f>
        <v>7632.69</v>
      </c>
      <c r="CD69" s="2">
        <f>ROUND(SUMIF(AA64:AA67,"=88041693",GP64:GP67),2)</f>
        <v>0</v>
      </c>
      <c r="CE69" s="2">
        <f>AC69-BX69</f>
        <v>4512.76</v>
      </c>
      <c r="CF69" s="2">
        <f>AC69-BY69</f>
        <v>4512.76</v>
      </c>
      <c r="CG69" s="2">
        <f>BX69-BZ69</f>
        <v>0</v>
      </c>
      <c r="CH69" s="2">
        <f>AC69-BX69-BY69+BZ69</f>
        <v>4512.76</v>
      </c>
      <c r="CI69" s="2">
        <f>BY69-BZ69</f>
        <v>0</v>
      </c>
      <c r="CJ69" s="2">
        <f>ROUND(SUMIF(AA64:AA67,"=88041693",GX64:GX67),2)</f>
        <v>0</v>
      </c>
      <c r="CK69" s="2">
        <f>ROUND(SUMIF(AA64:AA67,"=88041693",GY64:GY67),2)</f>
        <v>0</v>
      </c>
      <c r="CL69" s="2">
        <f>ROUND(SUMIF(AA64:AA67,"=88041693",GZ64:GZ67),2)</f>
        <v>0</v>
      </c>
      <c r="CM69" s="2">
        <f>ROUND(SUMIF(AA64:AA67,"=88041693",HD64:HD67),2)</f>
        <v>0</v>
      </c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>
        <v>0</v>
      </c>
    </row>
    <row r="71" spans="1:245" x14ac:dyDescent="0.2">
      <c r="A71" s="4">
        <v>50</v>
      </c>
      <c r="B71" s="4">
        <v>0</v>
      </c>
      <c r="C71" s="4">
        <v>0</v>
      </c>
      <c r="D71" s="4">
        <v>1</v>
      </c>
      <c r="E71" s="4">
        <v>201</v>
      </c>
      <c r="F71" s="4">
        <f>ROUND(Source!O69,O71)</f>
        <v>5771.2</v>
      </c>
      <c r="G71" s="4" t="s">
        <v>29</v>
      </c>
      <c r="H71" s="4" t="s">
        <v>30</v>
      </c>
      <c r="I71" s="4"/>
      <c r="J71" s="4"/>
      <c r="K71" s="4">
        <v>201</v>
      </c>
      <c r="L71" s="4">
        <v>1</v>
      </c>
      <c r="M71" s="4">
        <v>3</v>
      </c>
      <c r="N71" s="4" t="s">
        <v>3</v>
      </c>
      <c r="O71" s="4">
        <v>2</v>
      </c>
      <c r="P71" s="4"/>
      <c r="Q71" s="4"/>
      <c r="R71" s="4"/>
      <c r="S71" s="4"/>
      <c r="T71" s="4"/>
      <c r="U71" s="4"/>
      <c r="V71" s="4"/>
      <c r="W71" s="4">
        <v>5771.2000000000007</v>
      </c>
      <c r="X71" s="4">
        <v>1</v>
      </c>
      <c r="Y71" s="4">
        <v>5771.2000000000007</v>
      </c>
      <c r="Z71" s="4"/>
      <c r="AA71" s="4"/>
      <c r="AB71" s="4"/>
    </row>
    <row r="72" spans="1:245" x14ac:dyDescent="0.2">
      <c r="A72" s="4">
        <v>50</v>
      </c>
      <c r="B72" s="4">
        <v>0</v>
      </c>
      <c r="C72" s="4">
        <v>0</v>
      </c>
      <c r="D72" s="4">
        <v>1</v>
      </c>
      <c r="E72" s="4">
        <v>202</v>
      </c>
      <c r="F72" s="4">
        <f>ROUND(Source!P69,O72)</f>
        <v>4512.76</v>
      </c>
      <c r="G72" s="4" t="s">
        <v>31</v>
      </c>
      <c r="H72" s="4" t="s">
        <v>32</v>
      </c>
      <c r="I72" s="4"/>
      <c r="J72" s="4"/>
      <c r="K72" s="4">
        <v>202</v>
      </c>
      <c r="L72" s="4">
        <v>2</v>
      </c>
      <c r="M72" s="4">
        <v>3</v>
      </c>
      <c r="N72" s="4" t="s">
        <v>3</v>
      </c>
      <c r="O72" s="4">
        <v>2</v>
      </c>
      <c r="P72" s="4"/>
      <c r="Q72" s="4"/>
      <c r="R72" s="4"/>
      <c r="S72" s="4"/>
      <c r="T72" s="4"/>
      <c r="U72" s="4"/>
      <c r="V72" s="4"/>
      <c r="W72" s="4">
        <v>4512.76</v>
      </c>
      <c r="X72" s="4">
        <v>1</v>
      </c>
      <c r="Y72" s="4">
        <v>4512.76</v>
      </c>
      <c r="Z72" s="4"/>
      <c r="AA72" s="4"/>
      <c r="AB72" s="4"/>
    </row>
    <row r="73" spans="1:245" x14ac:dyDescent="0.2">
      <c r="A73" s="4">
        <v>50</v>
      </c>
      <c r="B73" s="4">
        <v>0</v>
      </c>
      <c r="C73" s="4">
        <v>0</v>
      </c>
      <c r="D73" s="4">
        <v>1</v>
      </c>
      <c r="E73" s="4">
        <v>222</v>
      </c>
      <c r="F73" s="4">
        <f>ROUND(Source!AO69,O73)</f>
        <v>0</v>
      </c>
      <c r="G73" s="4" t="s">
        <v>33</v>
      </c>
      <c r="H73" s="4" t="s">
        <v>34</v>
      </c>
      <c r="I73" s="4"/>
      <c r="J73" s="4"/>
      <c r="K73" s="4">
        <v>222</v>
      </c>
      <c r="L73" s="4">
        <v>3</v>
      </c>
      <c r="M73" s="4">
        <v>3</v>
      </c>
      <c r="N73" s="4" t="s">
        <v>3</v>
      </c>
      <c r="O73" s="4">
        <v>2</v>
      </c>
      <c r="P73" s="4"/>
      <c r="Q73" s="4"/>
      <c r="R73" s="4"/>
      <c r="S73" s="4"/>
      <c r="T73" s="4"/>
      <c r="U73" s="4"/>
      <c r="V73" s="4"/>
      <c r="W73" s="4">
        <v>0</v>
      </c>
      <c r="X73" s="4">
        <v>1</v>
      </c>
      <c r="Y73" s="4">
        <v>0</v>
      </c>
      <c r="Z73" s="4"/>
      <c r="AA73" s="4"/>
      <c r="AB73" s="4"/>
    </row>
    <row r="74" spans="1:245" x14ac:dyDescent="0.2">
      <c r="A74" s="4">
        <v>50</v>
      </c>
      <c r="B74" s="4">
        <v>0</v>
      </c>
      <c r="C74" s="4">
        <v>0</v>
      </c>
      <c r="D74" s="4">
        <v>1</v>
      </c>
      <c r="E74" s="4">
        <v>225</v>
      </c>
      <c r="F74" s="4">
        <f>ROUND(Source!AV69,O74)</f>
        <v>4512.76</v>
      </c>
      <c r="G74" s="4" t="s">
        <v>35</v>
      </c>
      <c r="H74" s="4" t="s">
        <v>36</v>
      </c>
      <c r="I74" s="4"/>
      <c r="J74" s="4"/>
      <c r="K74" s="4">
        <v>225</v>
      </c>
      <c r="L74" s="4">
        <v>4</v>
      </c>
      <c r="M74" s="4">
        <v>3</v>
      </c>
      <c r="N74" s="4" t="s">
        <v>3</v>
      </c>
      <c r="O74" s="4">
        <v>2</v>
      </c>
      <c r="P74" s="4"/>
      <c r="Q74" s="4"/>
      <c r="R74" s="4"/>
      <c r="S74" s="4"/>
      <c r="T74" s="4"/>
      <c r="U74" s="4"/>
      <c r="V74" s="4"/>
      <c r="W74" s="4">
        <v>4512.76</v>
      </c>
      <c r="X74" s="4">
        <v>1</v>
      </c>
      <c r="Y74" s="4">
        <v>4512.76</v>
      </c>
      <c r="Z74" s="4"/>
      <c r="AA74" s="4"/>
      <c r="AB74" s="4"/>
    </row>
    <row r="75" spans="1:245" x14ac:dyDescent="0.2">
      <c r="A75" s="4">
        <v>50</v>
      </c>
      <c r="B75" s="4">
        <v>0</v>
      </c>
      <c r="C75" s="4">
        <v>0</v>
      </c>
      <c r="D75" s="4">
        <v>1</v>
      </c>
      <c r="E75" s="4">
        <v>226</v>
      </c>
      <c r="F75" s="4">
        <f>ROUND(Source!AW69,O75)</f>
        <v>4512.76</v>
      </c>
      <c r="G75" s="4" t="s">
        <v>37</v>
      </c>
      <c r="H75" s="4" t="s">
        <v>38</v>
      </c>
      <c r="I75" s="4"/>
      <c r="J75" s="4"/>
      <c r="K75" s="4">
        <v>226</v>
      </c>
      <c r="L75" s="4">
        <v>5</v>
      </c>
      <c r="M75" s="4">
        <v>3</v>
      </c>
      <c r="N75" s="4" t="s">
        <v>3</v>
      </c>
      <c r="O75" s="4">
        <v>2</v>
      </c>
      <c r="P75" s="4"/>
      <c r="Q75" s="4"/>
      <c r="R75" s="4"/>
      <c r="S75" s="4"/>
      <c r="T75" s="4"/>
      <c r="U75" s="4"/>
      <c r="V75" s="4"/>
      <c r="W75" s="4">
        <v>4512.76</v>
      </c>
      <c r="X75" s="4">
        <v>1</v>
      </c>
      <c r="Y75" s="4">
        <v>4512.76</v>
      </c>
      <c r="Z75" s="4"/>
      <c r="AA75" s="4"/>
      <c r="AB75" s="4"/>
    </row>
    <row r="76" spans="1:245" x14ac:dyDescent="0.2">
      <c r="A76" s="4">
        <v>50</v>
      </c>
      <c r="B76" s="4">
        <v>0</v>
      </c>
      <c r="C76" s="4">
        <v>0</v>
      </c>
      <c r="D76" s="4">
        <v>1</v>
      </c>
      <c r="E76" s="4">
        <v>227</v>
      </c>
      <c r="F76" s="4">
        <f>ROUND(Source!AX69,O76)</f>
        <v>0</v>
      </c>
      <c r="G76" s="4" t="s">
        <v>39</v>
      </c>
      <c r="H76" s="4" t="s">
        <v>40</v>
      </c>
      <c r="I76" s="4"/>
      <c r="J76" s="4"/>
      <c r="K76" s="4">
        <v>227</v>
      </c>
      <c r="L76" s="4">
        <v>6</v>
      </c>
      <c r="M76" s="4">
        <v>3</v>
      </c>
      <c r="N76" s="4" t="s">
        <v>3</v>
      </c>
      <c r="O76" s="4">
        <v>2</v>
      </c>
      <c r="P76" s="4"/>
      <c r="Q76" s="4"/>
      <c r="R76" s="4"/>
      <c r="S76" s="4"/>
      <c r="T76" s="4"/>
      <c r="U76" s="4"/>
      <c r="V76" s="4"/>
      <c r="W76" s="4">
        <v>0</v>
      </c>
      <c r="X76" s="4">
        <v>1</v>
      </c>
      <c r="Y76" s="4">
        <v>0</v>
      </c>
      <c r="Z76" s="4"/>
      <c r="AA76" s="4"/>
      <c r="AB76" s="4"/>
    </row>
    <row r="77" spans="1:245" x14ac:dyDescent="0.2">
      <c r="A77" s="4">
        <v>50</v>
      </c>
      <c r="B77" s="4">
        <v>0</v>
      </c>
      <c r="C77" s="4">
        <v>0</v>
      </c>
      <c r="D77" s="4">
        <v>1</v>
      </c>
      <c r="E77" s="4">
        <v>228</v>
      </c>
      <c r="F77" s="4">
        <f>ROUND(Source!AY69,O77)</f>
        <v>4512.76</v>
      </c>
      <c r="G77" s="4" t="s">
        <v>41</v>
      </c>
      <c r="H77" s="4" t="s">
        <v>42</v>
      </c>
      <c r="I77" s="4"/>
      <c r="J77" s="4"/>
      <c r="K77" s="4">
        <v>228</v>
      </c>
      <c r="L77" s="4">
        <v>7</v>
      </c>
      <c r="M77" s="4">
        <v>3</v>
      </c>
      <c r="N77" s="4" t="s">
        <v>3</v>
      </c>
      <c r="O77" s="4">
        <v>2</v>
      </c>
      <c r="P77" s="4"/>
      <c r="Q77" s="4"/>
      <c r="R77" s="4"/>
      <c r="S77" s="4"/>
      <c r="T77" s="4"/>
      <c r="U77" s="4"/>
      <c r="V77" s="4"/>
      <c r="W77" s="4">
        <v>4512.76</v>
      </c>
      <c r="X77" s="4">
        <v>1</v>
      </c>
      <c r="Y77" s="4">
        <v>4512.76</v>
      </c>
      <c r="Z77" s="4"/>
      <c r="AA77" s="4"/>
      <c r="AB77" s="4"/>
    </row>
    <row r="78" spans="1:245" x14ac:dyDescent="0.2">
      <c r="A78" s="4">
        <v>50</v>
      </c>
      <c r="B78" s="4">
        <v>0</v>
      </c>
      <c r="C78" s="4">
        <v>0</v>
      </c>
      <c r="D78" s="4">
        <v>1</v>
      </c>
      <c r="E78" s="4">
        <v>216</v>
      </c>
      <c r="F78" s="4">
        <f>ROUND(Source!AP69,O78)</f>
        <v>0</v>
      </c>
      <c r="G78" s="4" t="s">
        <v>43</v>
      </c>
      <c r="H78" s="4" t="s">
        <v>44</v>
      </c>
      <c r="I78" s="4"/>
      <c r="J78" s="4"/>
      <c r="K78" s="4">
        <v>216</v>
      </c>
      <c r="L78" s="4">
        <v>8</v>
      </c>
      <c r="M78" s="4">
        <v>3</v>
      </c>
      <c r="N78" s="4" t="s">
        <v>3</v>
      </c>
      <c r="O78" s="4">
        <v>2</v>
      </c>
      <c r="P78" s="4"/>
      <c r="Q78" s="4"/>
      <c r="R78" s="4"/>
      <c r="S78" s="4"/>
      <c r="T78" s="4"/>
      <c r="U78" s="4"/>
      <c r="V78" s="4"/>
      <c r="W78" s="4">
        <v>0</v>
      </c>
      <c r="X78" s="4">
        <v>1</v>
      </c>
      <c r="Y78" s="4">
        <v>0</v>
      </c>
      <c r="Z78" s="4"/>
      <c r="AA78" s="4"/>
      <c r="AB78" s="4"/>
    </row>
    <row r="79" spans="1:245" x14ac:dyDescent="0.2">
      <c r="A79" s="4">
        <v>50</v>
      </c>
      <c r="B79" s="4">
        <v>0</v>
      </c>
      <c r="C79" s="4">
        <v>0</v>
      </c>
      <c r="D79" s="4">
        <v>1</v>
      </c>
      <c r="E79" s="4">
        <v>223</v>
      </c>
      <c r="F79" s="4">
        <f>ROUND(Source!AQ69,O79)</f>
        <v>0</v>
      </c>
      <c r="G79" s="4" t="s">
        <v>45</v>
      </c>
      <c r="H79" s="4" t="s">
        <v>46</v>
      </c>
      <c r="I79" s="4"/>
      <c r="J79" s="4"/>
      <c r="K79" s="4">
        <v>223</v>
      </c>
      <c r="L79" s="4">
        <v>9</v>
      </c>
      <c r="M79" s="4">
        <v>3</v>
      </c>
      <c r="N79" s="4" t="s">
        <v>3</v>
      </c>
      <c r="O79" s="4">
        <v>2</v>
      </c>
      <c r="P79" s="4"/>
      <c r="Q79" s="4"/>
      <c r="R79" s="4"/>
      <c r="S79" s="4"/>
      <c r="T79" s="4"/>
      <c r="U79" s="4"/>
      <c r="V79" s="4"/>
      <c r="W79" s="4">
        <v>0</v>
      </c>
      <c r="X79" s="4">
        <v>1</v>
      </c>
      <c r="Y79" s="4">
        <v>0</v>
      </c>
      <c r="Z79" s="4"/>
      <c r="AA79" s="4"/>
      <c r="AB79" s="4"/>
    </row>
    <row r="80" spans="1:245" x14ac:dyDescent="0.2">
      <c r="A80" s="4">
        <v>50</v>
      </c>
      <c r="B80" s="4">
        <v>0</v>
      </c>
      <c r="C80" s="4">
        <v>0</v>
      </c>
      <c r="D80" s="4">
        <v>1</v>
      </c>
      <c r="E80" s="4">
        <v>229</v>
      </c>
      <c r="F80" s="4">
        <f>ROUND(Source!AZ69,O80)</f>
        <v>0</v>
      </c>
      <c r="G80" s="4" t="s">
        <v>47</v>
      </c>
      <c r="H80" s="4" t="s">
        <v>48</v>
      </c>
      <c r="I80" s="4"/>
      <c r="J80" s="4"/>
      <c r="K80" s="4">
        <v>229</v>
      </c>
      <c r="L80" s="4">
        <v>10</v>
      </c>
      <c r="M80" s="4">
        <v>3</v>
      </c>
      <c r="N80" s="4" t="s">
        <v>3</v>
      </c>
      <c r="O80" s="4">
        <v>2</v>
      </c>
      <c r="P80" s="4"/>
      <c r="Q80" s="4"/>
      <c r="R80" s="4"/>
      <c r="S80" s="4"/>
      <c r="T80" s="4"/>
      <c r="U80" s="4"/>
      <c r="V80" s="4"/>
      <c r="W80" s="4">
        <v>0</v>
      </c>
      <c r="X80" s="4">
        <v>1</v>
      </c>
      <c r="Y80" s="4">
        <v>0</v>
      </c>
      <c r="Z80" s="4"/>
      <c r="AA80" s="4"/>
      <c r="AB80" s="4"/>
    </row>
    <row r="81" spans="1:28" x14ac:dyDescent="0.2">
      <c r="A81" s="4">
        <v>50</v>
      </c>
      <c r="B81" s="4">
        <v>0</v>
      </c>
      <c r="C81" s="4">
        <v>0</v>
      </c>
      <c r="D81" s="4">
        <v>1</v>
      </c>
      <c r="E81" s="4">
        <v>203</v>
      </c>
      <c r="F81" s="4">
        <f>ROUND(Source!Q69,O81)</f>
        <v>0.68</v>
      </c>
      <c r="G81" s="4" t="s">
        <v>49</v>
      </c>
      <c r="H81" s="4" t="s">
        <v>50</v>
      </c>
      <c r="I81" s="4"/>
      <c r="J81" s="4"/>
      <c r="K81" s="4">
        <v>203</v>
      </c>
      <c r="L81" s="4">
        <v>11</v>
      </c>
      <c r="M81" s="4">
        <v>3</v>
      </c>
      <c r="N81" s="4" t="s">
        <v>3</v>
      </c>
      <c r="O81" s="4">
        <v>2</v>
      </c>
      <c r="P81" s="4"/>
      <c r="Q81" s="4"/>
      <c r="R81" s="4"/>
      <c r="S81" s="4"/>
      <c r="T81" s="4"/>
      <c r="U81" s="4"/>
      <c r="V81" s="4"/>
      <c r="W81" s="4">
        <v>0.67999999999999994</v>
      </c>
      <c r="X81" s="4">
        <v>1</v>
      </c>
      <c r="Y81" s="4">
        <v>0.67999999999999994</v>
      </c>
      <c r="Z81" s="4"/>
      <c r="AA81" s="4"/>
      <c r="AB81" s="4"/>
    </row>
    <row r="82" spans="1:28" x14ac:dyDescent="0.2">
      <c r="A82" s="4">
        <v>50</v>
      </c>
      <c r="B82" s="4">
        <v>0</v>
      </c>
      <c r="C82" s="4">
        <v>0</v>
      </c>
      <c r="D82" s="4">
        <v>1</v>
      </c>
      <c r="E82" s="4">
        <v>231</v>
      </c>
      <c r="F82" s="4">
        <f>ROUND(Source!BB69,O82)</f>
        <v>0</v>
      </c>
      <c r="G82" s="4" t="s">
        <v>51</v>
      </c>
      <c r="H82" s="4" t="s">
        <v>52</v>
      </c>
      <c r="I82" s="4"/>
      <c r="J82" s="4"/>
      <c r="K82" s="4">
        <v>231</v>
      </c>
      <c r="L82" s="4">
        <v>12</v>
      </c>
      <c r="M82" s="4">
        <v>3</v>
      </c>
      <c r="N82" s="4" t="s">
        <v>3</v>
      </c>
      <c r="O82" s="4">
        <v>2</v>
      </c>
      <c r="P82" s="4"/>
      <c r="Q82" s="4"/>
      <c r="R82" s="4"/>
      <c r="S82" s="4"/>
      <c r="T82" s="4"/>
      <c r="U82" s="4"/>
      <c r="V82" s="4"/>
      <c r="W82" s="4">
        <v>0</v>
      </c>
      <c r="X82" s="4">
        <v>1</v>
      </c>
      <c r="Y82" s="4">
        <v>0</v>
      </c>
      <c r="Z82" s="4"/>
      <c r="AA82" s="4"/>
      <c r="AB82" s="4"/>
    </row>
    <row r="83" spans="1:28" x14ac:dyDescent="0.2">
      <c r="A83" s="4">
        <v>50</v>
      </c>
      <c r="B83" s="4">
        <v>0</v>
      </c>
      <c r="C83" s="4">
        <v>0</v>
      </c>
      <c r="D83" s="4">
        <v>1</v>
      </c>
      <c r="E83" s="4">
        <v>204</v>
      </c>
      <c r="F83" s="4">
        <f>ROUND(Source!R69,O83)</f>
        <v>0.38</v>
      </c>
      <c r="G83" s="4" t="s">
        <v>53</v>
      </c>
      <c r="H83" s="4" t="s">
        <v>54</v>
      </c>
      <c r="I83" s="4"/>
      <c r="J83" s="4"/>
      <c r="K83" s="4">
        <v>204</v>
      </c>
      <c r="L83" s="4">
        <v>13</v>
      </c>
      <c r="M83" s="4">
        <v>3</v>
      </c>
      <c r="N83" s="4" t="s">
        <v>3</v>
      </c>
      <c r="O83" s="4">
        <v>2</v>
      </c>
      <c r="P83" s="4"/>
      <c r="Q83" s="4"/>
      <c r="R83" s="4"/>
      <c r="S83" s="4"/>
      <c r="T83" s="4"/>
      <c r="U83" s="4"/>
      <c r="V83" s="4"/>
      <c r="W83" s="4">
        <v>0.38</v>
      </c>
      <c r="X83" s="4">
        <v>1</v>
      </c>
      <c r="Y83" s="4">
        <v>0.38</v>
      </c>
      <c r="Z83" s="4"/>
      <c r="AA83" s="4"/>
      <c r="AB83" s="4"/>
    </row>
    <row r="84" spans="1:28" x14ac:dyDescent="0.2">
      <c r="A84" s="4">
        <v>50</v>
      </c>
      <c r="B84" s="4">
        <v>0</v>
      </c>
      <c r="C84" s="4">
        <v>0</v>
      </c>
      <c r="D84" s="4">
        <v>1</v>
      </c>
      <c r="E84" s="4">
        <v>205</v>
      </c>
      <c r="F84" s="4">
        <f>ROUND(Source!S69,O84)</f>
        <v>1257.3800000000001</v>
      </c>
      <c r="G84" s="4" t="s">
        <v>55</v>
      </c>
      <c r="H84" s="4" t="s">
        <v>56</v>
      </c>
      <c r="I84" s="4"/>
      <c r="J84" s="4"/>
      <c r="K84" s="4">
        <v>205</v>
      </c>
      <c r="L84" s="4">
        <v>14</v>
      </c>
      <c r="M84" s="4">
        <v>3</v>
      </c>
      <c r="N84" s="4" t="s">
        <v>3</v>
      </c>
      <c r="O84" s="4">
        <v>2</v>
      </c>
      <c r="P84" s="4"/>
      <c r="Q84" s="4"/>
      <c r="R84" s="4"/>
      <c r="S84" s="4"/>
      <c r="T84" s="4"/>
      <c r="U84" s="4"/>
      <c r="V84" s="4"/>
      <c r="W84" s="4">
        <v>1257.3800000000001</v>
      </c>
      <c r="X84" s="4">
        <v>1</v>
      </c>
      <c r="Y84" s="4">
        <v>1257.3800000000001</v>
      </c>
      <c r="Z84" s="4"/>
      <c r="AA84" s="4"/>
      <c r="AB84" s="4"/>
    </row>
    <row r="85" spans="1:28" x14ac:dyDescent="0.2">
      <c r="A85" s="4">
        <v>50</v>
      </c>
      <c r="B85" s="4">
        <v>0</v>
      </c>
      <c r="C85" s="4">
        <v>0</v>
      </c>
      <c r="D85" s="4">
        <v>1</v>
      </c>
      <c r="E85" s="4">
        <v>232</v>
      </c>
      <c r="F85" s="4">
        <f>ROUND(Source!BC69,O85)</f>
        <v>0</v>
      </c>
      <c r="G85" s="4" t="s">
        <v>57</v>
      </c>
      <c r="H85" s="4" t="s">
        <v>58</v>
      </c>
      <c r="I85" s="4"/>
      <c r="J85" s="4"/>
      <c r="K85" s="4">
        <v>232</v>
      </c>
      <c r="L85" s="4">
        <v>15</v>
      </c>
      <c r="M85" s="4">
        <v>3</v>
      </c>
      <c r="N85" s="4" t="s">
        <v>3</v>
      </c>
      <c r="O85" s="4">
        <v>2</v>
      </c>
      <c r="P85" s="4"/>
      <c r="Q85" s="4"/>
      <c r="R85" s="4"/>
      <c r="S85" s="4"/>
      <c r="T85" s="4"/>
      <c r="U85" s="4"/>
      <c r="V85" s="4"/>
      <c r="W85" s="4">
        <v>0</v>
      </c>
      <c r="X85" s="4">
        <v>1</v>
      </c>
      <c r="Y85" s="4">
        <v>0</v>
      </c>
      <c r="Z85" s="4"/>
      <c r="AA85" s="4"/>
      <c r="AB85" s="4"/>
    </row>
    <row r="86" spans="1:28" x14ac:dyDescent="0.2">
      <c r="A86" s="4">
        <v>50</v>
      </c>
      <c r="B86" s="4">
        <v>0</v>
      </c>
      <c r="C86" s="4">
        <v>0</v>
      </c>
      <c r="D86" s="4">
        <v>1</v>
      </c>
      <c r="E86" s="4">
        <v>214</v>
      </c>
      <c r="F86" s="4">
        <f>ROUND(Source!AS69,O86)</f>
        <v>0</v>
      </c>
      <c r="G86" s="4" t="s">
        <v>59</v>
      </c>
      <c r="H86" s="4" t="s">
        <v>60</v>
      </c>
      <c r="I86" s="4"/>
      <c r="J86" s="4"/>
      <c r="K86" s="4">
        <v>214</v>
      </c>
      <c r="L86" s="4">
        <v>16</v>
      </c>
      <c r="M86" s="4">
        <v>3</v>
      </c>
      <c r="N86" s="4" t="s">
        <v>3</v>
      </c>
      <c r="O86" s="4">
        <v>2</v>
      </c>
      <c r="P86" s="4"/>
      <c r="Q86" s="4"/>
      <c r="R86" s="4"/>
      <c r="S86" s="4"/>
      <c r="T86" s="4"/>
      <c r="U86" s="4"/>
      <c r="V86" s="4"/>
      <c r="W86" s="4">
        <v>0</v>
      </c>
      <c r="X86" s="4">
        <v>1</v>
      </c>
      <c r="Y86" s="4">
        <v>0</v>
      </c>
      <c r="Z86" s="4"/>
      <c r="AA86" s="4"/>
      <c r="AB86" s="4"/>
    </row>
    <row r="87" spans="1:28" x14ac:dyDescent="0.2">
      <c r="A87" s="4">
        <v>50</v>
      </c>
      <c r="B87" s="4">
        <v>0</v>
      </c>
      <c r="C87" s="4">
        <v>0</v>
      </c>
      <c r="D87" s="4">
        <v>1</v>
      </c>
      <c r="E87" s="4">
        <v>215</v>
      </c>
      <c r="F87" s="4">
        <f>ROUND(Source!AT69,O87)</f>
        <v>7632.69</v>
      </c>
      <c r="G87" s="4" t="s">
        <v>61</v>
      </c>
      <c r="H87" s="4" t="s">
        <v>62</v>
      </c>
      <c r="I87" s="4"/>
      <c r="J87" s="4"/>
      <c r="K87" s="4">
        <v>215</v>
      </c>
      <c r="L87" s="4">
        <v>17</v>
      </c>
      <c r="M87" s="4">
        <v>3</v>
      </c>
      <c r="N87" s="4" t="s">
        <v>3</v>
      </c>
      <c r="O87" s="4">
        <v>2</v>
      </c>
      <c r="P87" s="4"/>
      <c r="Q87" s="4"/>
      <c r="R87" s="4"/>
      <c r="S87" s="4"/>
      <c r="T87" s="4"/>
      <c r="U87" s="4"/>
      <c r="V87" s="4"/>
      <c r="W87" s="4">
        <v>7632.69</v>
      </c>
      <c r="X87" s="4">
        <v>1</v>
      </c>
      <c r="Y87" s="4">
        <v>7632.69</v>
      </c>
      <c r="Z87" s="4"/>
      <c r="AA87" s="4"/>
      <c r="AB87" s="4"/>
    </row>
    <row r="88" spans="1:28" x14ac:dyDescent="0.2">
      <c r="A88" s="4">
        <v>50</v>
      </c>
      <c r="B88" s="4">
        <v>0</v>
      </c>
      <c r="C88" s="4">
        <v>0</v>
      </c>
      <c r="D88" s="4">
        <v>1</v>
      </c>
      <c r="E88" s="4">
        <v>217</v>
      </c>
      <c r="F88" s="4">
        <f>ROUND(Source!AU69,O88)</f>
        <v>0</v>
      </c>
      <c r="G88" s="4" t="s">
        <v>63</v>
      </c>
      <c r="H88" s="4" t="s">
        <v>64</v>
      </c>
      <c r="I88" s="4"/>
      <c r="J88" s="4"/>
      <c r="K88" s="4">
        <v>217</v>
      </c>
      <c r="L88" s="4">
        <v>18</v>
      </c>
      <c r="M88" s="4">
        <v>3</v>
      </c>
      <c r="N88" s="4" t="s">
        <v>3</v>
      </c>
      <c r="O88" s="4">
        <v>2</v>
      </c>
      <c r="P88" s="4"/>
      <c r="Q88" s="4"/>
      <c r="R88" s="4"/>
      <c r="S88" s="4"/>
      <c r="T88" s="4"/>
      <c r="U88" s="4"/>
      <c r="V88" s="4"/>
      <c r="W88" s="4">
        <v>0</v>
      </c>
      <c r="X88" s="4">
        <v>1</v>
      </c>
      <c r="Y88" s="4">
        <v>0</v>
      </c>
      <c r="Z88" s="4"/>
      <c r="AA88" s="4"/>
      <c r="AB88" s="4"/>
    </row>
    <row r="89" spans="1:28" x14ac:dyDescent="0.2">
      <c r="A89" s="4">
        <v>50</v>
      </c>
      <c r="B89" s="4">
        <v>0</v>
      </c>
      <c r="C89" s="4">
        <v>0</v>
      </c>
      <c r="D89" s="4">
        <v>1</v>
      </c>
      <c r="E89" s="4">
        <v>230</v>
      </c>
      <c r="F89" s="4">
        <f>ROUND(Source!BA69,O89)</f>
        <v>0</v>
      </c>
      <c r="G89" s="4" t="s">
        <v>65</v>
      </c>
      <c r="H89" s="4" t="s">
        <v>66</v>
      </c>
      <c r="I89" s="4"/>
      <c r="J89" s="4"/>
      <c r="K89" s="4">
        <v>230</v>
      </c>
      <c r="L89" s="4">
        <v>19</v>
      </c>
      <c r="M89" s="4">
        <v>3</v>
      </c>
      <c r="N89" s="4" t="s">
        <v>3</v>
      </c>
      <c r="O89" s="4">
        <v>2</v>
      </c>
      <c r="P89" s="4"/>
      <c r="Q89" s="4"/>
      <c r="R89" s="4"/>
      <c r="S89" s="4"/>
      <c r="T89" s="4"/>
      <c r="U89" s="4"/>
      <c r="V89" s="4"/>
      <c r="W89" s="4">
        <v>0</v>
      </c>
      <c r="X89" s="4">
        <v>1</v>
      </c>
      <c r="Y89" s="4">
        <v>0</v>
      </c>
      <c r="Z89" s="4"/>
      <c r="AA89" s="4"/>
      <c r="AB89" s="4"/>
    </row>
    <row r="90" spans="1:28" x14ac:dyDescent="0.2">
      <c r="A90" s="4">
        <v>50</v>
      </c>
      <c r="B90" s="4">
        <v>0</v>
      </c>
      <c r="C90" s="4">
        <v>0</v>
      </c>
      <c r="D90" s="4">
        <v>1</v>
      </c>
      <c r="E90" s="4">
        <v>206</v>
      </c>
      <c r="F90" s="4">
        <f>ROUND(Source!T69,O90)</f>
        <v>0</v>
      </c>
      <c r="G90" s="4" t="s">
        <v>67</v>
      </c>
      <c r="H90" s="4" t="s">
        <v>68</v>
      </c>
      <c r="I90" s="4"/>
      <c r="J90" s="4"/>
      <c r="K90" s="4">
        <v>206</v>
      </c>
      <c r="L90" s="4">
        <v>20</v>
      </c>
      <c r="M90" s="4">
        <v>3</v>
      </c>
      <c r="N90" s="4" t="s">
        <v>3</v>
      </c>
      <c r="O90" s="4">
        <v>2</v>
      </c>
      <c r="P90" s="4"/>
      <c r="Q90" s="4"/>
      <c r="R90" s="4"/>
      <c r="S90" s="4"/>
      <c r="T90" s="4"/>
      <c r="U90" s="4"/>
      <c r="V90" s="4"/>
      <c r="W90" s="4">
        <v>0</v>
      </c>
      <c r="X90" s="4">
        <v>1</v>
      </c>
      <c r="Y90" s="4">
        <v>0</v>
      </c>
      <c r="Z90" s="4"/>
      <c r="AA90" s="4"/>
      <c r="AB90" s="4"/>
    </row>
    <row r="91" spans="1:28" x14ac:dyDescent="0.2">
      <c r="A91" s="4">
        <v>50</v>
      </c>
      <c r="B91" s="4">
        <v>0</v>
      </c>
      <c r="C91" s="4">
        <v>0</v>
      </c>
      <c r="D91" s="4">
        <v>1</v>
      </c>
      <c r="E91" s="4">
        <v>207</v>
      </c>
      <c r="F91" s="4">
        <f>ROUND(Source!U69,O91)</f>
        <v>2.3832</v>
      </c>
      <c r="G91" s="4" t="s">
        <v>69</v>
      </c>
      <c r="H91" s="4" t="s">
        <v>70</v>
      </c>
      <c r="I91" s="4"/>
      <c r="J91" s="4"/>
      <c r="K91" s="4">
        <v>207</v>
      </c>
      <c r="L91" s="4">
        <v>21</v>
      </c>
      <c r="M91" s="4">
        <v>3</v>
      </c>
      <c r="N91" s="4" t="s">
        <v>3</v>
      </c>
      <c r="O91" s="4">
        <v>7</v>
      </c>
      <c r="P91" s="4"/>
      <c r="Q91" s="4"/>
      <c r="R91" s="4"/>
      <c r="S91" s="4"/>
      <c r="T91" s="4"/>
      <c r="U91" s="4"/>
      <c r="V91" s="4"/>
      <c r="W91" s="4">
        <v>2.3832</v>
      </c>
      <c r="X91" s="4">
        <v>1</v>
      </c>
      <c r="Y91" s="4">
        <v>2.3832</v>
      </c>
      <c r="Z91" s="4"/>
      <c r="AA91" s="4"/>
      <c r="AB91" s="4"/>
    </row>
    <row r="92" spans="1:28" x14ac:dyDescent="0.2">
      <c r="A92" s="4">
        <v>50</v>
      </c>
      <c r="B92" s="4">
        <v>0</v>
      </c>
      <c r="C92" s="4">
        <v>0</v>
      </c>
      <c r="D92" s="4">
        <v>1</v>
      </c>
      <c r="E92" s="4">
        <v>208</v>
      </c>
      <c r="F92" s="4">
        <f>ROUND(Source!V69,O92)</f>
        <v>5.9999999999999995E-4</v>
      </c>
      <c r="G92" s="4" t="s">
        <v>71</v>
      </c>
      <c r="H92" s="4" t="s">
        <v>72</v>
      </c>
      <c r="I92" s="4"/>
      <c r="J92" s="4"/>
      <c r="K92" s="4">
        <v>208</v>
      </c>
      <c r="L92" s="4">
        <v>22</v>
      </c>
      <c r="M92" s="4">
        <v>3</v>
      </c>
      <c r="N92" s="4" t="s">
        <v>3</v>
      </c>
      <c r="O92" s="4">
        <v>7</v>
      </c>
      <c r="P92" s="4"/>
      <c r="Q92" s="4"/>
      <c r="R92" s="4"/>
      <c r="S92" s="4"/>
      <c r="T92" s="4"/>
      <c r="U92" s="4"/>
      <c r="V92" s="4"/>
      <c r="W92" s="4">
        <v>5.9999999999999995E-4</v>
      </c>
      <c r="X92" s="4">
        <v>1</v>
      </c>
      <c r="Y92" s="4">
        <v>5.9999999999999995E-4</v>
      </c>
      <c r="Z92" s="4"/>
      <c r="AA92" s="4"/>
      <c r="AB92" s="4"/>
    </row>
    <row r="93" spans="1:28" x14ac:dyDescent="0.2">
      <c r="A93" s="4">
        <v>50</v>
      </c>
      <c r="B93" s="4">
        <v>0</v>
      </c>
      <c r="C93" s="4">
        <v>0</v>
      </c>
      <c r="D93" s="4">
        <v>1</v>
      </c>
      <c r="E93" s="4">
        <v>209</v>
      </c>
      <c r="F93" s="4">
        <f>ROUND(Source!W69,O93)</f>
        <v>0</v>
      </c>
      <c r="G93" s="4" t="s">
        <v>73</v>
      </c>
      <c r="H93" s="4" t="s">
        <v>74</v>
      </c>
      <c r="I93" s="4"/>
      <c r="J93" s="4"/>
      <c r="K93" s="4">
        <v>209</v>
      </c>
      <c r="L93" s="4">
        <v>23</v>
      </c>
      <c r="M93" s="4">
        <v>3</v>
      </c>
      <c r="N93" s="4" t="s">
        <v>3</v>
      </c>
      <c r="O93" s="4">
        <v>2</v>
      </c>
      <c r="P93" s="4"/>
      <c r="Q93" s="4"/>
      <c r="R93" s="4"/>
      <c r="S93" s="4"/>
      <c r="T93" s="4"/>
      <c r="U93" s="4"/>
      <c r="V93" s="4"/>
      <c r="W93" s="4">
        <v>0</v>
      </c>
      <c r="X93" s="4">
        <v>1</v>
      </c>
      <c r="Y93" s="4">
        <v>0</v>
      </c>
      <c r="Z93" s="4"/>
      <c r="AA93" s="4"/>
      <c r="AB93" s="4"/>
    </row>
    <row r="94" spans="1:28" x14ac:dyDescent="0.2">
      <c r="A94" s="4">
        <v>50</v>
      </c>
      <c r="B94" s="4">
        <v>0</v>
      </c>
      <c r="C94" s="4">
        <v>0</v>
      </c>
      <c r="D94" s="4">
        <v>1</v>
      </c>
      <c r="E94" s="4">
        <v>233</v>
      </c>
      <c r="F94" s="4">
        <f>ROUND(Source!BD69,O94)</f>
        <v>0</v>
      </c>
      <c r="G94" s="4" t="s">
        <v>75</v>
      </c>
      <c r="H94" s="4" t="s">
        <v>76</v>
      </c>
      <c r="I94" s="4"/>
      <c r="J94" s="4"/>
      <c r="K94" s="4">
        <v>233</v>
      </c>
      <c r="L94" s="4">
        <v>24</v>
      </c>
      <c r="M94" s="4">
        <v>3</v>
      </c>
      <c r="N94" s="4" t="s">
        <v>3</v>
      </c>
      <c r="O94" s="4">
        <v>2</v>
      </c>
      <c r="P94" s="4"/>
      <c r="Q94" s="4"/>
      <c r="R94" s="4"/>
      <c r="S94" s="4"/>
      <c r="T94" s="4"/>
      <c r="U94" s="4"/>
      <c r="V94" s="4"/>
      <c r="W94" s="4">
        <v>0</v>
      </c>
      <c r="X94" s="4">
        <v>1</v>
      </c>
      <c r="Y94" s="4">
        <v>0</v>
      </c>
      <c r="Z94" s="4"/>
      <c r="AA94" s="4"/>
      <c r="AB94" s="4"/>
    </row>
    <row r="95" spans="1:28" x14ac:dyDescent="0.2">
      <c r="A95" s="4">
        <v>50</v>
      </c>
      <c r="B95" s="4">
        <v>0</v>
      </c>
      <c r="C95" s="4">
        <v>0</v>
      </c>
      <c r="D95" s="4">
        <v>1</v>
      </c>
      <c r="E95" s="4">
        <v>210</v>
      </c>
      <c r="F95" s="4">
        <f>ROUND(Source!X69,O95)</f>
        <v>1220.03</v>
      </c>
      <c r="G95" s="4" t="s">
        <v>77</v>
      </c>
      <c r="H95" s="4" t="s">
        <v>78</v>
      </c>
      <c r="I95" s="4"/>
      <c r="J95" s="4"/>
      <c r="K95" s="4">
        <v>210</v>
      </c>
      <c r="L95" s="4">
        <v>25</v>
      </c>
      <c r="M95" s="4">
        <v>3</v>
      </c>
      <c r="N95" s="4" t="s">
        <v>3</v>
      </c>
      <c r="O95" s="4">
        <v>2</v>
      </c>
      <c r="P95" s="4"/>
      <c r="Q95" s="4"/>
      <c r="R95" s="4"/>
      <c r="S95" s="4"/>
      <c r="T95" s="4"/>
      <c r="U95" s="4"/>
      <c r="V95" s="4"/>
      <c r="W95" s="4">
        <v>1220.03</v>
      </c>
      <c r="X95" s="4">
        <v>1</v>
      </c>
      <c r="Y95" s="4">
        <v>1220.03</v>
      </c>
      <c r="Z95" s="4"/>
      <c r="AA95" s="4"/>
      <c r="AB95" s="4"/>
    </row>
    <row r="96" spans="1:28" x14ac:dyDescent="0.2">
      <c r="A96" s="4">
        <v>50</v>
      </c>
      <c r="B96" s="4">
        <v>0</v>
      </c>
      <c r="C96" s="4">
        <v>0</v>
      </c>
      <c r="D96" s="4">
        <v>1</v>
      </c>
      <c r="E96" s="4">
        <v>211</v>
      </c>
      <c r="F96" s="4">
        <f>ROUND(Source!Y69,O96)</f>
        <v>641.46</v>
      </c>
      <c r="G96" s="4" t="s">
        <v>79</v>
      </c>
      <c r="H96" s="4" t="s">
        <v>80</v>
      </c>
      <c r="I96" s="4"/>
      <c r="J96" s="4"/>
      <c r="K96" s="4">
        <v>211</v>
      </c>
      <c r="L96" s="4">
        <v>26</v>
      </c>
      <c r="M96" s="4">
        <v>3</v>
      </c>
      <c r="N96" s="4" t="s">
        <v>3</v>
      </c>
      <c r="O96" s="4">
        <v>2</v>
      </c>
      <c r="P96" s="4"/>
      <c r="Q96" s="4"/>
      <c r="R96" s="4"/>
      <c r="S96" s="4"/>
      <c r="T96" s="4"/>
      <c r="U96" s="4"/>
      <c r="V96" s="4"/>
      <c r="W96" s="4">
        <v>641.46</v>
      </c>
      <c r="X96" s="4">
        <v>1</v>
      </c>
      <c r="Y96" s="4">
        <v>641.46</v>
      </c>
      <c r="Z96" s="4"/>
      <c r="AA96" s="4"/>
      <c r="AB96" s="4"/>
    </row>
    <row r="97" spans="1:245" x14ac:dyDescent="0.2">
      <c r="A97" s="4">
        <v>50</v>
      </c>
      <c r="B97" s="4">
        <v>0</v>
      </c>
      <c r="C97" s="4">
        <v>0</v>
      </c>
      <c r="D97" s="4">
        <v>1</v>
      </c>
      <c r="E97" s="4">
        <v>224</v>
      </c>
      <c r="F97" s="4">
        <f>ROUND(Source!AR69,O97)</f>
        <v>7632.69</v>
      </c>
      <c r="G97" s="4" t="s">
        <v>81</v>
      </c>
      <c r="H97" s="4" t="s">
        <v>82</v>
      </c>
      <c r="I97" s="4"/>
      <c r="J97" s="4"/>
      <c r="K97" s="4">
        <v>224</v>
      </c>
      <c r="L97" s="4">
        <v>27</v>
      </c>
      <c r="M97" s="4">
        <v>3</v>
      </c>
      <c r="N97" s="4" t="s">
        <v>3</v>
      </c>
      <c r="O97" s="4">
        <v>2</v>
      </c>
      <c r="P97" s="4"/>
      <c r="Q97" s="4"/>
      <c r="R97" s="4"/>
      <c r="S97" s="4"/>
      <c r="T97" s="4"/>
      <c r="U97" s="4"/>
      <c r="V97" s="4"/>
      <c r="W97" s="4">
        <v>7632.69</v>
      </c>
      <c r="X97" s="4">
        <v>1</v>
      </c>
      <c r="Y97" s="4">
        <v>7632.69</v>
      </c>
      <c r="Z97" s="4"/>
      <c r="AA97" s="4"/>
      <c r="AB97" s="4"/>
    </row>
    <row r="99" spans="1:245" x14ac:dyDescent="0.2">
      <c r="A99" s="1">
        <v>4</v>
      </c>
      <c r="B99" s="1">
        <v>1</v>
      </c>
      <c r="C99" s="1"/>
      <c r="D99" s="1">
        <f>ROW(A108)</f>
        <v>108</v>
      </c>
      <c r="E99" s="1"/>
      <c r="F99" s="1" t="s">
        <v>15</v>
      </c>
      <c r="G99" s="1" t="s">
        <v>101</v>
      </c>
      <c r="H99" s="1" t="s">
        <v>3</v>
      </c>
      <c r="I99" s="1">
        <v>0</v>
      </c>
      <c r="J99" s="1"/>
      <c r="K99" s="1">
        <v>0</v>
      </c>
      <c r="L99" s="1"/>
      <c r="M99" s="1" t="s">
        <v>3</v>
      </c>
      <c r="N99" s="1"/>
      <c r="O99" s="1"/>
      <c r="P99" s="1"/>
      <c r="Q99" s="1"/>
      <c r="R99" s="1"/>
      <c r="S99" s="1">
        <v>0</v>
      </c>
      <c r="T99" s="1"/>
      <c r="U99" s="1" t="s">
        <v>3</v>
      </c>
      <c r="V99" s="1">
        <v>0</v>
      </c>
      <c r="W99" s="1"/>
      <c r="X99" s="1"/>
      <c r="Y99" s="1"/>
      <c r="Z99" s="1"/>
      <c r="AA99" s="1"/>
      <c r="AB99" s="1" t="s">
        <v>3</v>
      </c>
      <c r="AC99" s="1" t="s">
        <v>3</v>
      </c>
      <c r="AD99" s="1" t="s">
        <v>3</v>
      </c>
      <c r="AE99" s="1" t="s">
        <v>3</v>
      </c>
      <c r="AF99" s="1" t="s">
        <v>3</v>
      </c>
      <c r="AG99" s="1" t="s">
        <v>3</v>
      </c>
      <c r="AH99" s="1"/>
      <c r="AI99" s="1"/>
      <c r="AJ99" s="1"/>
      <c r="AK99" s="1"/>
      <c r="AL99" s="1"/>
      <c r="AM99" s="1"/>
      <c r="AN99" s="1"/>
      <c r="AO99" s="1"/>
      <c r="AP99" s="1" t="s">
        <v>3</v>
      </c>
      <c r="AQ99" s="1" t="s">
        <v>3</v>
      </c>
      <c r="AR99" s="1" t="s">
        <v>3</v>
      </c>
      <c r="AS99" s="1"/>
      <c r="AT99" s="1"/>
      <c r="AU99" s="1"/>
      <c r="AV99" s="1"/>
      <c r="AW99" s="1"/>
      <c r="AX99" s="1"/>
      <c r="AY99" s="1"/>
      <c r="AZ99" s="1" t="s">
        <v>3</v>
      </c>
      <c r="BA99" s="1"/>
      <c r="BB99" s="1" t="s">
        <v>3</v>
      </c>
      <c r="BC99" s="1" t="s">
        <v>3</v>
      </c>
      <c r="BD99" s="1" t="s">
        <v>3</v>
      </c>
      <c r="BE99" s="1" t="s">
        <v>3</v>
      </c>
      <c r="BF99" s="1" t="s">
        <v>3</v>
      </c>
      <c r="BG99" s="1" t="s">
        <v>3</v>
      </c>
      <c r="BH99" s="1" t="s">
        <v>3</v>
      </c>
      <c r="BI99" s="1" t="s">
        <v>3</v>
      </c>
      <c r="BJ99" s="1" t="s">
        <v>3</v>
      </c>
      <c r="BK99" s="1" t="s">
        <v>3</v>
      </c>
      <c r="BL99" s="1" t="s">
        <v>3</v>
      </c>
      <c r="BM99" s="1" t="s">
        <v>3</v>
      </c>
      <c r="BN99" s="1" t="s">
        <v>3</v>
      </c>
      <c r="BO99" s="1" t="s">
        <v>3</v>
      </c>
      <c r="BP99" s="1" t="s">
        <v>3</v>
      </c>
      <c r="BQ99" s="1"/>
      <c r="BR99" s="1"/>
      <c r="BS99" s="1"/>
      <c r="BT99" s="1"/>
      <c r="BU99" s="1"/>
      <c r="BV99" s="1"/>
      <c r="BW99" s="1"/>
      <c r="BX99" s="1">
        <v>0</v>
      </c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>
        <v>0</v>
      </c>
    </row>
    <row r="101" spans="1:245" x14ac:dyDescent="0.2">
      <c r="A101" s="2">
        <v>52</v>
      </c>
      <c r="B101" s="2">
        <f t="shared" ref="B101:G101" si="33">B108</f>
        <v>1</v>
      </c>
      <c r="C101" s="2">
        <f t="shared" si="33"/>
        <v>4</v>
      </c>
      <c r="D101" s="2">
        <f t="shared" si="33"/>
        <v>99</v>
      </c>
      <c r="E101" s="2">
        <f t="shared" si="33"/>
        <v>0</v>
      </c>
      <c r="F101" s="2" t="str">
        <f t="shared" si="33"/>
        <v>Новый раздел</v>
      </c>
      <c r="G101" s="2" t="str">
        <f t="shared" si="33"/>
        <v>ПНР</v>
      </c>
      <c r="H101" s="2"/>
      <c r="I101" s="2"/>
      <c r="J101" s="2"/>
      <c r="K101" s="2"/>
      <c r="L101" s="2"/>
      <c r="M101" s="2"/>
      <c r="N101" s="2"/>
      <c r="O101" s="2">
        <f t="shared" ref="O101:AT101" si="34">O108</f>
        <v>25575.41</v>
      </c>
      <c r="P101" s="2">
        <f t="shared" si="34"/>
        <v>0</v>
      </c>
      <c r="Q101" s="2">
        <f t="shared" si="34"/>
        <v>0</v>
      </c>
      <c r="R101" s="2">
        <f t="shared" si="34"/>
        <v>0</v>
      </c>
      <c r="S101" s="2">
        <f t="shared" si="34"/>
        <v>25575.41</v>
      </c>
      <c r="T101" s="2">
        <f t="shared" si="34"/>
        <v>0</v>
      </c>
      <c r="U101" s="2">
        <f t="shared" si="34"/>
        <v>36.187600000000003</v>
      </c>
      <c r="V101" s="2">
        <f t="shared" si="34"/>
        <v>0</v>
      </c>
      <c r="W101" s="2">
        <f t="shared" si="34"/>
        <v>0</v>
      </c>
      <c r="X101" s="2">
        <f t="shared" si="34"/>
        <v>18925.8</v>
      </c>
      <c r="Y101" s="2">
        <f t="shared" si="34"/>
        <v>9207.15</v>
      </c>
      <c r="Z101" s="2">
        <f t="shared" si="34"/>
        <v>0</v>
      </c>
      <c r="AA101" s="2">
        <f t="shared" si="34"/>
        <v>0</v>
      </c>
      <c r="AB101" s="2">
        <f t="shared" si="34"/>
        <v>25575.41</v>
      </c>
      <c r="AC101" s="2">
        <f t="shared" si="34"/>
        <v>0</v>
      </c>
      <c r="AD101" s="2">
        <f t="shared" si="34"/>
        <v>0</v>
      </c>
      <c r="AE101" s="2">
        <f t="shared" si="34"/>
        <v>0</v>
      </c>
      <c r="AF101" s="2">
        <f t="shared" si="34"/>
        <v>25575.41</v>
      </c>
      <c r="AG101" s="2">
        <f t="shared" si="34"/>
        <v>0</v>
      </c>
      <c r="AH101" s="2">
        <f t="shared" si="34"/>
        <v>36.187600000000003</v>
      </c>
      <c r="AI101" s="2">
        <f t="shared" si="34"/>
        <v>0</v>
      </c>
      <c r="AJ101" s="2">
        <f t="shared" si="34"/>
        <v>0</v>
      </c>
      <c r="AK101" s="2">
        <f t="shared" si="34"/>
        <v>18925.8</v>
      </c>
      <c r="AL101" s="2">
        <f t="shared" si="34"/>
        <v>9207.15</v>
      </c>
      <c r="AM101" s="2">
        <f t="shared" si="34"/>
        <v>0</v>
      </c>
      <c r="AN101" s="2">
        <f t="shared" si="34"/>
        <v>0</v>
      </c>
      <c r="AO101" s="2">
        <f t="shared" si="34"/>
        <v>0</v>
      </c>
      <c r="AP101" s="2">
        <f t="shared" si="34"/>
        <v>0</v>
      </c>
      <c r="AQ101" s="2">
        <f t="shared" si="34"/>
        <v>0</v>
      </c>
      <c r="AR101" s="2">
        <f t="shared" si="34"/>
        <v>53708.36</v>
      </c>
      <c r="AS101" s="2">
        <f t="shared" si="34"/>
        <v>0</v>
      </c>
      <c r="AT101" s="2">
        <f t="shared" si="34"/>
        <v>0</v>
      </c>
      <c r="AU101" s="2">
        <f t="shared" ref="AU101:BZ101" si="35">AU108</f>
        <v>53708.36</v>
      </c>
      <c r="AV101" s="2">
        <f t="shared" si="35"/>
        <v>0</v>
      </c>
      <c r="AW101" s="2">
        <f t="shared" si="35"/>
        <v>0</v>
      </c>
      <c r="AX101" s="2">
        <f t="shared" si="35"/>
        <v>0</v>
      </c>
      <c r="AY101" s="2">
        <f t="shared" si="35"/>
        <v>0</v>
      </c>
      <c r="AZ101" s="2">
        <f t="shared" si="35"/>
        <v>0</v>
      </c>
      <c r="BA101" s="2">
        <f t="shared" si="35"/>
        <v>0</v>
      </c>
      <c r="BB101" s="2">
        <f t="shared" si="35"/>
        <v>0</v>
      </c>
      <c r="BC101" s="2">
        <f t="shared" si="35"/>
        <v>0</v>
      </c>
      <c r="BD101" s="2">
        <f t="shared" si="35"/>
        <v>0</v>
      </c>
      <c r="BE101" s="2">
        <f t="shared" si="35"/>
        <v>0</v>
      </c>
      <c r="BF101" s="2">
        <f t="shared" si="35"/>
        <v>0</v>
      </c>
      <c r="BG101" s="2">
        <f t="shared" si="35"/>
        <v>0</v>
      </c>
      <c r="BH101" s="2">
        <f t="shared" si="35"/>
        <v>0</v>
      </c>
      <c r="BI101" s="2">
        <f t="shared" si="35"/>
        <v>0</v>
      </c>
      <c r="BJ101" s="2">
        <f t="shared" si="35"/>
        <v>0</v>
      </c>
      <c r="BK101" s="2">
        <f t="shared" si="35"/>
        <v>0</v>
      </c>
      <c r="BL101" s="2">
        <f t="shared" si="35"/>
        <v>0</v>
      </c>
      <c r="BM101" s="2">
        <f t="shared" si="35"/>
        <v>0</v>
      </c>
      <c r="BN101" s="2">
        <f t="shared" si="35"/>
        <v>0</v>
      </c>
      <c r="BO101" s="2">
        <f t="shared" si="35"/>
        <v>0</v>
      </c>
      <c r="BP101" s="2">
        <f t="shared" si="35"/>
        <v>0</v>
      </c>
      <c r="BQ101" s="2">
        <f t="shared" si="35"/>
        <v>0</v>
      </c>
      <c r="BR101" s="2">
        <f t="shared" si="35"/>
        <v>0</v>
      </c>
      <c r="BS101" s="2">
        <f t="shared" si="35"/>
        <v>0</v>
      </c>
      <c r="BT101" s="2">
        <f t="shared" si="35"/>
        <v>0</v>
      </c>
      <c r="BU101" s="2">
        <f t="shared" si="35"/>
        <v>0</v>
      </c>
      <c r="BV101" s="2">
        <f t="shared" si="35"/>
        <v>0</v>
      </c>
      <c r="BW101" s="2">
        <f t="shared" si="35"/>
        <v>0</v>
      </c>
      <c r="BX101" s="2">
        <f t="shared" si="35"/>
        <v>0</v>
      </c>
      <c r="BY101" s="2">
        <f t="shared" si="35"/>
        <v>0</v>
      </c>
      <c r="BZ101" s="2">
        <f t="shared" si="35"/>
        <v>0</v>
      </c>
      <c r="CA101" s="2">
        <f t="shared" ref="CA101:DF101" si="36">CA108</f>
        <v>53708.36</v>
      </c>
      <c r="CB101" s="2">
        <f t="shared" si="36"/>
        <v>0</v>
      </c>
      <c r="CC101" s="2">
        <f t="shared" si="36"/>
        <v>0</v>
      </c>
      <c r="CD101" s="2">
        <f t="shared" si="36"/>
        <v>53708.36</v>
      </c>
      <c r="CE101" s="2">
        <f t="shared" si="36"/>
        <v>0</v>
      </c>
      <c r="CF101" s="2">
        <f t="shared" si="36"/>
        <v>0</v>
      </c>
      <c r="CG101" s="2">
        <f t="shared" si="36"/>
        <v>0</v>
      </c>
      <c r="CH101" s="2">
        <f t="shared" si="36"/>
        <v>0</v>
      </c>
      <c r="CI101" s="2">
        <f t="shared" si="36"/>
        <v>0</v>
      </c>
      <c r="CJ101" s="2">
        <f t="shared" si="36"/>
        <v>0</v>
      </c>
      <c r="CK101" s="2">
        <f t="shared" si="36"/>
        <v>0</v>
      </c>
      <c r="CL101" s="2">
        <f t="shared" si="36"/>
        <v>0</v>
      </c>
      <c r="CM101" s="2">
        <f t="shared" si="36"/>
        <v>0</v>
      </c>
      <c r="CN101" s="2">
        <f t="shared" si="36"/>
        <v>0</v>
      </c>
      <c r="CO101" s="2">
        <f t="shared" si="36"/>
        <v>0</v>
      </c>
      <c r="CP101" s="2">
        <f t="shared" si="36"/>
        <v>0</v>
      </c>
      <c r="CQ101" s="2">
        <f t="shared" si="36"/>
        <v>0</v>
      </c>
      <c r="CR101" s="2">
        <f t="shared" si="36"/>
        <v>0</v>
      </c>
      <c r="CS101" s="2">
        <f t="shared" si="36"/>
        <v>0</v>
      </c>
      <c r="CT101" s="2">
        <f t="shared" si="36"/>
        <v>0</v>
      </c>
      <c r="CU101" s="2">
        <f t="shared" si="36"/>
        <v>0</v>
      </c>
      <c r="CV101" s="2">
        <f t="shared" si="36"/>
        <v>0</v>
      </c>
      <c r="CW101" s="2">
        <f t="shared" si="36"/>
        <v>0</v>
      </c>
      <c r="CX101" s="2">
        <f t="shared" si="36"/>
        <v>0</v>
      </c>
      <c r="CY101" s="2">
        <f t="shared" si="36"/>
        <v>0</v>
      </c>
      <c r="CZ101" s="2">
        <f t="shared" si="36"/>
        <v>0</v>
      </c>
      <c r="DA101" s="2">
        <f t="shared" si="36"/>
        <v>0</v>
      </c>
      <c r="DB101" s="2">
        <f t="shared" si="36"/>
        <v>0</v>
      </c>
      <c r="DC101" s="2">
        <f t="shared" si="36"/>
        <v>0</v>
      </c>
      <c r="DD101" s="2">
        <f t="shared" si="36"/>
        <v>0</v>
      </c>
      <c r="DE101" s="2">
        <f t="shared" si="36"/>
        <v>0</v>
      </c>
      <c r="DF101" s="2">
        <f t="shared" si="36"/>
        <v>0</v>
      </c>
      <c r="DG101" s="3">
        <f t="shared" ref="DG101:EL101" si="37">DG108</f>
        <v>0</v>
      </c>
      <c r="DH101" s="3">
        <f t="shared" si="37"/>
        <v>0</v>
      </c>
      <c r="DI101" s="3">
        <f t="shared" si="37"/>
        <v>0</v>
      </c>
      <c r="DJ101" s="3">
        <f t="shared" si="37"/>
        <v>0</v>
      </c>
      <c r="DK101" s="3">
        <f t="shared" si="37"/>
        <v>0</v>
      </c>
      <c r="DL101" s="3">
        <f t="shared" si="37"/>
        <v>0</v>
      </c>
      <c r="DM101" s="3">
        <f t="shared" si="37"/>
        <v>0</v>
      </c>
      <c r="DN101" s="3">
        <f t="shared" si="37"/>
        <v>0</v>
      </c>
      <c r="DO101" s="3">
        <f t="shared" si="37"/>
        <v>0</v>
      </c>
      <c r="DP101" s="3">
        <f t="shared" si="37"/>
        <v>0</v>
      </c>
      <c r="DQ101" s="3">
        <f t="shared" si="37"/>
        <v>0</v>
      </c>
      <c r="DR101" s="3">
        <f t="shared" si="37"/>
        <v>0</v>
      </c>
      <c r="DS101" s="3">
        <f t="shared" si="37"/>
        <v>0</v>
      </c>
      <c r="DT101" s="3">
        <f t="shared" si="37"/>
        <v>0</v>
      </c>
      <c r="DU101" s="3">
        <f t="shared" si="37"/>
        <v>0</v>
      </c>
      <c r="DV101" s="3">
        <f t="shared" si="37"/>
        <v>0</v>
      </c>
      <c r="DW101" s="3">
        <f t="shared" si="37"/>
        <v>0</v>
      </c>
      <c r="DX101" s="3">
        <f t="shared" si="37"/>
        <v>0</v>
      </c>
      <c r="DY101" s="3">
        <f t="shared" si="37"/>
        <v>0</v>
      </c>
      <c r="DZ101" s="3">
        <f t="shared" si="37"/>
        <v>0</v>
      </c>
      <c r="EA101" s="3">
        <f t="shared" si="37"/>
        <v>0</v>
      </c>
      <c r="EB101" s="3">
        <f t="shared" si="37"/>
        <v>0</v>
      </c>
      <c r="EC101" s="3">
        <f t="shared" si="37"/>
        <v>0</v>
      </c>
      <c r="ED101" s="3">
        <f t="shared" si="37"/>
        <v>0</v>
      </c>
      <c r="EE101" s="3">
        <f t="shared" si="37"/>
        <v>0</v>
      </c>
      <c r="EF101" s="3">
        <f t="shared" si="37"/>
        <v>0</v>
      </c>
      <c r="EG101" s="3">
        <f t="shared" si="37"/>
        <v>0</v>
      </c>
      <c r="EH101" s="3">
        <f t="shared" si="37"/>
        <v>0</v>
      </c>
      <c r="EI101" s="3">
        <f t="shared" si="37"/>
        <v>0</v>
      </c>
      <c r="EJ101" s="3">
        <f t="shared" si="37"/>
        <v>0</v>
      </c>
      <c r="EK101" s="3">
        <f t="shared" si="37"/>
        <v>0</v>
      </c>
      <c r="EL101" s="3">
        <f t="shared" si="37"/>
        <v>0</v>
      </c>
      <c r="EM101" s="3">
        <f t="shared" ref="EM101:FR101" si="38">EM108</f>
        <v>0</v>
      </c>
      <c r="EN101" s="3">
        <f t="shared" si="38"/>
        <v>0</v>
      </c>
      <c r="EO101" s="3">
        <f t="shared" si="38"/>
        <v>0</v>
      </c>
      <c r="EP101" s="3">
        <f t="shared" si="38"/>
        <v>0</v>
      </c>
      <c r="EQ101" s="3">
        <f t="shared" si="38"/>
        <v>0</v>
      </c>
      <c r="ER101" s="3">
        <f t="shared" si="38"/>
        <v>0</v>
      </c>
      <c r="ES101" s="3">
        <f t="shared" si="38"/>
        <v>0</v>
      </c>
      <c r="ET101" s="3">
        <f t="shared" si="38"/>
        <v>0</v>
      </c>
      <c r="EU101" s="3">
        <f t="shared" si="38"/>
        <v>0</v>
      </c>
      <c r="EV101" s="3">
        <f t="shared" si="38"/>
        <v>0</v>
      </c>
      <c r="EW101" s="3">
        <f t="shared" si="38"/>
        <v>0</v>
      </c>
      <c r="EX101" s="3">
        <f t="shared" si="38"/>
        <v>0</v>
      </c>
      <c r="EY101" s="3">
        <f t="shared" si="38"/>
        <v>0</v>
      </c>
      <c r="EZ101" s="3">
        <f t="shared" si="38"/>
        <v>0</v>
      </c>
      <c r="FA101" s="3">
        <f t="shared" si="38"/>
        <v>0</v>
      </c>
      <c r="FB101" s="3">
        <f t="shared" si="38"/>
        <v>0</v>
      </c>
      <c r="FC101" s="3">
        <f t="shared" si="38"/>
        <v>0</v>
      </c>
      <c r="FD101" s="3">
        <f t="shared" si="38"/>
        <v>0</v>
      </c>
      <c r="FE101" s="3">
        <f t="shared" si="38"/>
        <v>0</v>
      </c>
      <c r="FF101" s="3">
        <f t="shared" si="38"/>
        <v>0</v>
      </c>
      <c r="FG101" s="3">
        <f t="shared" si="38"/>
        <v>0</v>
      </c>
      <c r="FH101" s="3">
        <f t="shared" si="38"/>
        <v>0</v>
      </c>
      <c r="FI101" s="3">
        <f t="shared" si="38"/>
        <v>0</v>
      </c>
      <c r="FJ101" s="3">
        <f t="shared" si="38"/>
        <v>0</v>
      </c>
      <c r="FK101" s="3">
        <f t="shared" si="38"/>
        <v>0</v>
      </c>
      <c r="FL101" s="3">
        <f t="shared" si="38"/>
        <v>0</v>
      </c>
      <c r="FM101" s="3">
        <f t="shared" si="38"/>
        <v>0</v>
      </c>
      <c r="FN101" s="3">
        <f t="shared" si="38"/>
        <v>0</v>
      </c>
      <c r="FO101" s="3">
        <f t="shared" si="38"/>
        <v>0</v>
      </c>
      <c r="FP101" s="3">
        <f t="shared" si="38"/>
        <v>0</v>
      </c>
      <c r="FQ101" s="3">
        <f t="shared" si="38"/>
        <v>0</v>
      </c>
      <c r="FR101" s="3">
        <f t="shared" si="38"/>
        <v>0</v>
      </c>
      <c r="FS101" s="3">
        <f t="shared" ref="FS101:GX101" si="39">FS108</f>
        <v>0</v>
      </c>
      <c r="FT101" s="3">
        <f t="shared" si="39"/>
        <v>0</v>
      </c>
      <c r="FU101" s="3">
        <f t="shared" si="39"/>
        <v>0</v>
      </c>
      <c r="FV101" s="3">
        <f t="shared" si="39"/>
        <v>0</v>
      </c>
      <c r="FW101" s="3">
        <f t="shared" si="39"/>
        <v>0</v>
      </c>
      <c r="FX101" s="3">
        <f t="shared" si="39"/>
        <v>0</v>
      </c>
      <c r="FY101" s="3">
        <f t="shared" si="39"/>
        <v>0</v>
      </c>
      <c r="FZ101" s="3">
        <f t="shared" si="39"/>
        <v>0</v>
      </c>
      <c r="GA101" s="3">
        <f t="shared" si="39"/>
        <v>0</v>
      </c>
      <c r="GB101" s="3">
        <f t="shared" si="39"/>
        <v>0</v>
      </c>
      <c r="GC101" s="3">
        <f t="shared" si="39"/>
        <v>0</v>
      </c>
      <c r="GD101" s="3">
        <f t="shared" si="39"/>
        <v>0</v>
      </c>
      <c r="GE101" s="3">
        <f t="shared" si="39"/>
        <v>0</v>
      </c>
      <c r="GF101" s="3">
        <f t="shared" si="39"/>
        <v>0</v>
      </c>
      <c r="GG101" s="3">
        <f t="shared" si="39"/>
        <v>0</v>
      </c>
      <c r="GH101" s="3">
        <f t="shared" si="39"/>
        <v>0</v>
      </c>
      <c r="GI101" s="3">
        <f t="shared" si="39"/>
        <v>0</v>
      </c>
      <c r="GJ101" s="3">
        <f t="shared" si="39"/>
        <v>0</v>
      </c>
      <c r="GK101" s="3">
        <f t="shared" si="39"/>
        <v>0</v>
      </c>
      <c r="GL101" s="3">
        <f t="shared" si="39"/>
        <v>0</v>
      </c>
      <c r="GM101" s="3">
        <f t="shared" si="39"/>
        <v>0</v>
      </c>
      <c r="GN101" s="3">
        <f t="shared" si="39"/>
        <v>0</v>
      </c>
      <c r="GO101" s="3">
        <f t="shared" si="39"/>
        <v>0</v>
      </c>
      <c r="GP101" s="3">
        <f t="shared" si="39"/>
        <v>0</v>
      </c>
      <c r="GQ101" s="3">
        <f t="shared" si="39"/>
        <v>0</v>
      </c>
      <c r="GR101" s="3">
        <f t="shared" si="39"/>
        <v>0</v>
      </c>
      <c r="GS101" s="3">
        <f t="shared" si="39"/>
        <v>0</v>
      </c>
      <c r="GT101" s="3">
        <f t="shared" si="39"/>
        <v>0</v>
      </c>
      <c r="GU101" s="3">
        <f t="shared" si="39"/>
        <v>0</v>
      </c>
      <c r="GV101" s="3">
        <f t="shared" si="39"/>
        <v>0</v>
      </c>
      <c r="GW101" s="3">
        <f t="shared" si="39"/>
        <v>0</v>
      </c>
      <c r="GX101" s="3">
        <f t="shared" si="39"/>
        <v>0</v>
      </c>
    </row>
    <row r="103" spans="1:245" x14ac:dyDescent="0.2">
      <c r="A103">
        <v>17</v>
      </c>
      <c r="B103">
        <v>1</v>
      </c>
      <c r="C103">
        <f>ROW(SmtRes!A25)</f>
        <v>25</v>
      </c>
      <c r="D103">
        <f>ROW(EtalonRes!A28)</f>
        <v>28</v>
      </c>
      <c r="E103" t="s">
        <v>102</v>
      </c>
      <c r="F103" t="s">
        <v>103</v>
      </c>
      <c r="G103" t="s">
        <v>104</v>
      </c>
      <c r="H103" t="s">
        <v>105</v>
      </c>
      <c r="I103">
        <f>ROUND(1/100,7)</f>
        <v>0.01</v>
      </c>
      <c r="J103">
        <v>0</v>
      </c>
      <c r="K103">
        <f>ROUND(1/100,7)</f>
        <v>0.01</v>
      </c>
      <c r="O103">
        <f>ROUND(CP103,2)</f>
        <v>92.91</v>
      </c>
      <c r="P103">
        <f>SUMIF(SmtRes!AQ24:'SmtRes'!AQ25,"=1",SmtRes!DF24:'SmtRes'!DF25)</f>
        <v>0</v>
      </c>
      <c r="Q103">
        <f>SUMIF(SmtRes!AQ24:'SmtRes'!AQ25,"=1",SmtRes!DG24:'SmtRes'!DG25)</f>
        <v>0</v>
      </c>
      <c r="R103">
        <f>SUMIF(SmtRes!AQ24:'SmtRes'!AQ25,"=1",SmtRes!DH24:'SmtRes'!DH25)</f>
        <v>0</v>
      </c>
      <c r="S103">
        <f>SUMIF(SmtRes!AQ24:'SmtRes'!AQ25,"=1",SmtRes!DI24:'SmtRes'!DI25)</f>
        <v>92.91</v>
      </c>
      <c r="T103">
        <f>ROUND(CU103*I103,2)</f>
        <v>0</v>
      </c>
      <c r="U103">
        <f>SUMIF(SmtRes!AQ24:'SmtRes'!AQ25,"=1",SmtRes!CV24:'SmtRes'!CV25)</f>
        <v>0.12959999999999999</v>
      </c>
      <c r="V103">
        <f>SUMIF(SmtRes!AQ24:'SmtRes'!AQ25,"=1",SmtRes!CW24:'SmtRes'!CW25)</f>
        <v>0</v>
      </c>
      <c r="W103">
        <f>ROUND(CX103*I103,2)</f>
        <v>0</v>
      </c>
      <c r="X103">
        <f t="shared" ref="X103:Y106" si="40">ROUND(CY103,2)</f>
        <v>68.75</v>
      </c>
      <c r="Y103">
        <f t="shared" si="40"/>
        <v>33.450000000000003</v>
      </c>
      <c r="AA103">
        <v>88041693</v>
      </c>
      <c r="AB103">
        <f>ROUND((AC103+AD103+AF103),6)</f>
        <v>9290.9591999999993</v>
      </c>
      <c r="AC103">
        <f>ROUND((0),6)</f>
        <v>0</v>
      </c>
      <c r="AD103">
        <f>ROUND((((0)-(0))+AE103),6)</f>
        <v>0</v>
      </c>
      <c r="AE103">
        <f>ROUND((0),6)</f>
        <v>0</v>
      </c>
      <c r="AF103">
        <f>ROUND((SUM(SmtRes!BT24:'SmtRes'!BT25)),6)</f>
        <v>9290.9591999999993</v>
      </c>
      <c r="AG103">
        <f>ROUND((AP103),6)</f>
        <v>0</v>
      </c>
      <c r="AH103">
        <f>(SUM(SmtRes!BU24:'SmtRes'!BU25))</f>
        <v>12.96</v>
      </c>
      <c r="AI103">
        <f>(0)</f>
        <v>0</v>
      </c>
      <c r="AJ103">
        <f>(AS103)</f>
        <v>0</v>
      </c>
      <c r="AK103">
        <v>9290.9592000000011</v>
      </c>
      <c r="AL103">
        <v>0</v>
      </c>
      <c r="AM103">
        <v>0</v>
      </c>
      <c r="AN103">
        <v>0</v>
      </c>
      <c r="AO103">
        <v>9290.9592000000011</v>
      </c>
      <c r="AP103">
        <v>0</v>
      </c>
      <c r="AQ103">
        <v>12.96</v>
      </c>
      <c r="AR103">
        <v>0</v>
      </c>
      <c r="AS103">
        <v>0</v>
      </c>
      <c r="AT103">
        <v>74</v>
      </c>
      <c r="AU103">
        <v>36</v>
      </c>
      <c r="AV103">
        <v>1</v>
      </c>
      <c r="AW103">
        <v>1</v>
      </c>
      <c r="AZ103">
        <v>1</v>
      </c>
      <c r="BA103">
        <v>1</v>
      </c>
      <c r="BB103">
        <v>1</v>
      </c>
      <c r="BC103">
        <v>1</v>
      </c>
      <c r="BD103" t="s">
        <v>3</v>
      </c>
      <c r="BE103" t="s">
        <v>3</v>
      </c>
      <c r="BF103" t="s">
        <v>3</v>
      </c>
      <c r="BG103" t="s">
        <v>3</v>
      </c>
      <c r="BH103">
        <v>0</v>
      </c>
      <c r="BI103">
        <v>4</v>
      </c>
      <c r="BJ103" t="s">
        <v>106</v>
      </c>
      <c r="BM103">
        <v>200001</v>
      </c>
      <c r="BN103">
        <v>0</v>
      </c>
      <c r="BO103" t="s">
        <v>3</v>
      </c>
      <c r="BP103">
        <v>0</v>
      </c>
      <c r="BQ103">
        <v>4</v>
      </c>
      <c r="BR103">
        <v>0</v>
      </c>
      <c r="BS103">
        <v>1</v>
      </c>
      <c r="BT103">
        <v>1</v>
      </c>
      <c r="BU103">
        <v>1</v>
      </c>
      <c r="BV103">
        <v>1</v>
      </c>
      <c r="BW103">
        <v>1</v>
      </c>
      <c r="BX103">
        <v>1</v>
      </c>
      <c r="BY103" t="s">
        <v>3</v>
      </c>
      <c r="BZ103">
        <v>74</v>
      </c>
      <c r="CA103">
        <v>36</v>
      </c>
      <c r="CB103" t="s">
        <v>3</v>
      </c>
      <c r="CE103">
        <v>0</v>
      </c>
      <c r="CF103">
        <v>0</v>
      </c>
      <c r="CG103">
        <v>0</v>
      </c>
      <c r="CM103">
        <v>0</v>
      </c>
      <c r="CN103" t="s">
        <v>3</v>
      </c>
      <c r="CO103">
        <v>0</v>
      </c>
      <c r="CP103">
        <f>(P103+Q103+S103+R103)</f>
        <v>92.91</v>
      </c>
      <c r="CQ103">
        <f>SUMIF(SmtRes!AQ24:'SmtRes'!AQ25,"=1",SmtRes!AA24:'SmtRes'!AA25)</f>
        <v>0</v>
      </c>
      <c r="CR103">
        <f>SUMIF(SmtRes!AQ24:'SmtRes'!AQ25,"=1",SmtRes!AB24:'SmtRes'!AB25)</f>
        <v>0</v>
      </c>
      <c r="CS103">
        <f>SUMIF(SmtRes!AQ24:'SmtRes'!AQ25,"=1",SmtRes!AC24:'SmtRes'!AC25)</f>
        <v>0</v>
      </c>
      <c r="CT103">
        <f>SUMIF(SmtRes!AQ24:'SmtRes'!AQ25,"=1",SmtRes!AD24:'SmtRes'!AD25)</f>
        <v>1433.79</v>
      </c>
      <c r="CU103">
        <f>AG103</f>
        <v>0</v>
      </c>
      <c r="CV103">
        <f>SUMIF(SmtRes!AQ24:'SmtRes'!AQ25,"=1",SmtRes!BU24:'SmtRes'!BU25)</f>
        <v>12.96</v>
      </c>
      <c r="CW103">
        <f>SUMIF(SmtRes!AQ24:'SmtRes'!AQ25,"=1",SmtRes!BV24:'SmtRes'!BV25)</f>
        <v>0</v>
      </c>
      <c r="CX103">
        <f>AJ103</f>
        <v>0</v>
      </c>
      <c r="CY103">
        <f>(((S103+R103)*AT103)/100)</f>
        <v>68.753399999999999</v>
      </c>
      <c r="CZ103">
        <f>(((S103+R103)*AU103)/100)</f>
        <v>33.447599999999994</v>
      </c>
      <c r="DC103" t="s">
        <v>3</v>
      </c>
      <c r="DD103" t="s">
        <v>3</v>
      </c>
      <c r="DE103" t="s">
        <v>3</v>
      </c>
      <c r="DF103" t="s">
        <v>3</v>
      </c>
      <c r="DG103" t="s">
        <v>3</v>
      </c>
      <c r="DH103" t="s">
        <v>3</v>
      </c>
      <c r="DI103" t="s">
        <v>3</v>
      </c>
      <c r="DJ103" t="s">
        <v>3</v>
      </c>
      <c r="DK103" t="s">
        <v>3</v>
      </c>
      <c r="DL103" t="s">
        <v>3</v>
      </c>
      <c r="DM103" t="s">
        <v>3</v>
      </c>
      <c r="DN103">
        <v>0</v>
      </c>
      <c r="DO103">
        <v>0</v>
      </c>
      <c r="DP103">
        <v>1</v>
      </c>
      <c r="DQ103">
        <v>1</v>
      </c>
      <c r="DU103">
        <v>1013</v>
      </c>
      <c r="DV103" t="s">
        <v>105</v>
      </c>
      <c r="DW103" t="s">
        <v>105</v>
      </c>
      <c r="DX103">
        <v>1</v>
      </c>
      <c r="DZ103" t="s">
        <v>3</v>
      </c>
      <c r="EA103" t="s">
        <v>3</v>
      </c>
      <c r="EB103" t="s">
        <v>3</v>
      </c>
      <c r="EC103" t="s">
        <v>3</v>
      </c>
      <c r="EE103">
        <v>86834900</v>
      </c>
      <c r="EF103">
        <v>4</v>
      </c>
      <c r="EG103" t="s">
        <v>107</v>
      </c>
      <c r="EH103">
        <v>83</v>
      </c>
      <c r="EI103" t="s">
        <v>107</v>
      </c>
      <c r="EJ103">
        <v>4</v>
      </c>
      <c r="EK103">
        <v>200001</v>
      </c>
      <c r="EL103" t="s">
        <v>108</v>
      </c>
      <c r="EM103" t="s">
        <v>109</v>
      </c>
      <c r="EO103" t="s">
        <v>3</v>
      </c>
      <c r="EQ103">
        <v>256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12.96</v>
      </c>
      <c r="EX103">
        <v>0</v>
      </c>
      <c r="EY103">
        <v>0</v>
      </c>
      <c r="FQ103">
        <v>0</v>
      </c>
      <c r="FR103">
        <v>0</v>
      </c>
      <c r="FS103">
        <v>0</v>
      </c>
      <c r="FX103">
        <v>74</v>
      </c>
      <c r="FY103">
        <v>36</v>
      </c>
      <c r="GA103" t="s">
        <v>3</v>
      </c>
      <c r="GD103">
        <v>1</v>
      </c>
      <c r="GF103">
        <v>-1735373992</v>
      </c>
      <c r="GG103">
        <v>2</v>
      </c>
      <c r="GH103">
        <v>1</v>
      </c>
      <c r="GI103">
        <v>-2</v>
      </c>
      <c r="GJ103">
        <v>0</v>
      </c>
      <c r="GK103">
        <v>0</v>
      </c>
      <c r="GL103">
        <f>ROUND(IF(AND(BH103=3,BI103=3,FS103&lt;&gt;0),P103,0),2)</f>
        <v>0</v>
      </c>
      <c r="GM103">
        <f>ROUND(O103+X103+Y103,2)+GX103</f>
        <v>195.11</v>
      </c>
      <c r="GN103">
        <f>IF(OR(BI103=0,BI103=1),GM103-GX103,0)</f>
        <v>0</v>
      </c>
      <c r="GO103">
        <f>IF(BI103=2,GM103-GX103,0)</f>
        <v>0</v>
      </c>
      <c r="GP103">
        <f>IF(BI103=4,GM103-GX103,0)</f>
        <v>195.11</v>
      </c>
      <c r="GR103">
        <v>0</v>
      </c>
      <c r="GS103">
        <v>0</v>
      </c>
      <c r="GT103">
        <v>0</v>
      </c>
      <c r="GU103" t="s">
        <v>3</v>
      </c>
      <c r="GV103">
        <f>ROUND((GT103),6)</f>
        <v>0</v>
      </c>
      <c r="GW103">
        <v>1</v>
      </c>
      <c r="GX103">
        <f>ROUND(HC103*I103,2)</f>
        <v>0</v>
      </c>
      <c r="HA103">
        <v>0</v>
      </c>
      <c r="HB103">
        <v>0</v>
      </c>
      <c r="HC103">
        <f>GV103*GW103</f>
        <v>0</v>
      </c>
      <c r="HE103" t="s">
        <v>3</v>
      </c>
      <c r="HF103" t="s">
        <v>3</v>
      </c>
      <c r="HM103" t="s">
        <v>3</v>
      </c>
      <c r="HN103" t="s">
        <v>110</v>
      </c>
      <c r="HO103" t="s">
        <v>111</v>
      </c>
      <c r="HP103" t="s">
        <v>107</v>
      </c>
      <c r="HQ103" t="s">
        <v>107</v>
      </c>
      <c r="HS103">
        <v>0</v>
      </c>
      <c r="IK103">
        <v>0</v>
      </c>
    </row>
    <row r="104" spans="1:245" x14ac:dyDescent="0.2">
      <c r="A104">
        <v>17</v>
      </c>
      <c r="B104">
        <v>1</v>
      </c>
      <c r="C104">
        <f>ROW(SmtRes!A27)</f>
        <v>27</v>
      </c>
      <c r="D104">
        <f>ROW(EtalonRes!A30)</f>
        <v>30</v>
      </c>
      <c r="E104" t="s">
        <v>112</v>
      </c>
      <c r="F104" t="s">
        <v>113</v>
      </c>
      <c r="G104" t="s">
        <v>114</v>
      </c>
      <c r="H104" t="s">
        <v>115</v>
      </c>
      <c r="I104">
        <v>1</v>
      </c>
      <c r="J104">
        <v>0</v>
      </c>
      <c r="K104">
        <v>1</v>
      </c>
      <c r="O104">
        <f>ROUND(CP104,2)</f>
        <v>3116.81</v>
      </c>
      <c r="P104">
        <f>SUMIF(SmtRes!AQ26:'SmtRes'!AQ27,"=1",SmtRes!DF26:'SmtRes'!DF27)</f>
        <v>0</v>
      </c>
      <c r="Q104">
        <f>SUMIF(SmtRes!AQ26:'SmtRes'!AQ27,"=1",SmtRes!DG26:'SmtRes'!DG27)</f>
        <v>0</v>
      </c>
      <c r="R104">
        <f>SUMIF(SmtRes!AQ26:'SmtRes'!AQ27,"=1",SmtRes!DH26:'SmtRes'!DH27)</f>
        <v>0</v>
      </c>
      <c r="S104">
        <f>SUMIF(SmtRes!AQ26:'SmtRes'!AQ27,"=1",SmtRes!DI26:'SmtRes'!DI27)</f>
        <v>3116.81</v>
      </c>
      <c r="T104">
        <f>ROUND(CU104*I104,2)</f>
        <v>0</v>
      </c>
      <c r="U104">
        <f>SUMIF(SmtRes!AQ26:'SmtRes'!AQ27,"=1",SmtRes!CV26:'SmtRes'!CV27)</f>
        <v>4.8599999999999994</v>
      </c>
      <c r="V104">
        <f>SUMIF(SmtRes!AQ26:'SmtRes'!AQ27,"=1",SmtRes!CW26:'SmtRes'!CW27)</f>
        <v>0</v>
      </c>
      <c r="W104">
        <f>ROUND(CX104*I104,2)</f>
        <v>0</v>
      </c>
      <c r="X104">
        <f t="shared" si="40"/>
        <v>2306.44</v>
      </c>
      <c r="Y104">
        <f t="shared" si="40"/>
        <v>1122.05</v>
      </c>
      <c r="AA104">
        <v>88041693</v>
      </c>
      <c r="AB104">
        <f>ROUND((AC104+AD104+AF104),6)</f>
        <v>3116.8114</v>
      </c>
      <c r="AC104">
        <f>ROUND((0),6)</f>
        <v>0</v>
      </c>
      <c r="AD104">
        <f>ROUND((((0)-(0))+AE104),6)</f>
        <v>0</v>
      </c>
      <c r="AE104">
        <f>ROUND((0),6)</f>
        <v>0</v>
      </c>
      <c r="AF104">
        <f>ROUND((SUM(SmtRes!BT26:'SmtRes'!BT27)),6)</f>
        <v>3116.8114</v>
      </c>
      <c r="AG104">
        <f>ROUND((AP104),6)</f>
        <v>0</v>
      </c>
      <c r="AH104">
        <f>(SUM(SmtRes!BU26:'SmtRes'!BU27))</f>
        <v>4.8599999999999994</v>
      </c>
      <c r="AI104">
        <f>(0)</f>
        <v>0</v>
      </c>
      <c r="AJ104">
        <f>(AS104)</f>
        <v>0</v>
      </c>
      <c r="AK104">
        <v>3116.8114000000005</v>
      </c>
      <c r="AL104">
        <v>0</v>
      </c>
      <c r="AM104">
        <v>0</v>
      </c>
      <c r="AN104">
        <v>0</v>
      </c>
      <c r="AO104">
        <v>3116.8114000000005</v>
      </c>
      <c r="AP104">
        <v>0</v>
      </c>
      <c r="AQ104">
        <v>4.8599999999999994</v>
      </c>
      <c r="AR104">
        <v>0</v>
      </c>
      <c r="AS104">
        <v>0</v>
      </c>
      <c r="AT104">
        <v>74</v>
      </c>
      <c r="AU104">
        <v>36</v>
      </c>
      <c r="AV104">
        <v>1</v>
      </c>
      <c r="AW104">
        <v>1</v>
      </c>
      <c r="AZ104">
        <v>1</v>
      </c>
      <c r="BA104">
        <v>1</v>
      </c>
      <c r="BB104">
        <v>1</v>
      </c>
      <c r="BC104">
        <v>1</v>
      </c>
      <c r="BD104" t="s">
        <v>3</v>
      </c>
      <c r="BE104" t="s">
        <v>3</v>
      </c>
      <c r="BF104" t="s">
        <v>3</v>
      </c>
      <c r="BG104" t="s">
        <v>3</v>
      </c>
      <c r="BH104">
        <v>0</v>
      </c>
      <c r="BI104">
        <v>4</v>
      </c>
      <c r="BJ104" t="s">
        <v>116</v>
      </c>
      <c r="BM104">
        <v>200001</v>
      </c>
      <c r="BN104">
        <v>0</v>
      </c>
      <c r="BO104" t="s">
        <v>3</v>
      </c>
      <c r="BP104">
        <v>0</v>
      </c>
      <c r="BQ104">
        <v>4</v>
      </c>
      <c r="BR104">
        <v>0</v>
      </c>
      <c r="BS104">
        <v>1</v>
      </c>
      <c r="BT104">
        <v>1</v>
      </c>
      <c r="BU104">
        <v>1</v>
      </c>
      <c r="BV104">
        <v>1</v>
      </c>
      <c r="BW104">
        <v>1</v>
      </c>
      <c r="BX104">
        <v>1</v>
      </c>
      <c r="BY104" t="s">
        <v>3</v>
      </c>
      <c r="BZ104">
        <v>74</v>
      </c>
      <c r="CA104">
        <v>36</v>
      </c>
      <c r="CB104" t="s">
        <v>3</v>
      </c>
      <c r="CE104">
        <v>0</v>
      </c>
      <c r="CF104">
        <v>0</v>
      </c>
      <c r="CG104">
        <v>0</v>
      </c>
      <c r="CM104">
        <v>0</v>
      </c>
      <c r="CN104" t="s">
        <v>3</v>
      </c>
      <c r="CO104">
        <v>0</v>
      </c>
      <c r="CP104">
        <f>(P104+Q104+S104+R104)</f>
        <v>3116.81</v>
      </c>
      <c r="CQ104">
        <f>SUMIF(SmtRes!AQ26:'SmtRes'!AQ27,"=1",SmtRes!AA26:'SmtRes'!AA27)</f>
        <v>0</v>
      </c>
      <c r="CR104">
        <f>SUMIF(SmtRes!AQ26:'SmtRes'!AQ27,"=1",SmtRes!AB26:'SmtRes'!AB27)</f>
        <v>0</v>
      </c>
      <c r="CS104">
        <f>SUMIF(SmtRes!AQ26:'SmtRes'!AQ27,"=1",SmtRes!AC26:'SmtRes'!AC27)</f>
        <v>0</v>
      </c>
      <c r="CT104">
        <f>SUMIF(SmtRes!AQ26:'SmtRes'!AQ27,"=1",SmtRes!AD26:'SmtRes'!AD27)</f>
        <v>1248.5300000000002</v>
      </c>
      <c r="CU104">
        <f>AG104</f>
        <v>0</v>
      </c>
      <c r="CV104">
        <f>SUMIF(SmtRes!AQ26:'SmtRes'!AQ27,"=1",SmtRes!BU26:'SmtRes'!BU27)</f>
        <v>4.8599999999999994</v>
      </c>
      <c r="CW104">
        <f>SUMIF(SmtRes!AQ26:'SmtRes'!AQ27,"=1",SmtRes!BV26:'SmtRes'!BV27)</f>
        <v>0</v>
      </c>
      <c r="CX104">
        <f>AJ104</f>
        <v>0</v>
      </c>
      <c r="CY104">
        <f>(((S104+R104)*AT104)/100)</f>
        <v>2306.4394000000002</v>
      </c>
      <c r="CZ104">
        <f>(((S104+R104)*AU104)/100)</f>
        <v>1122.0516</v>
      </c>
      <c r="DC104" t="s">
        <v>3</v>
      </c>
      <c r="DD104" t="s">
        <v>3</v>
      </c>
      <c r="DE104" t="s">
        <v>3</v>
      </c>
      <c r="DF104" t="s">
        <v>3</v>
      </c>
      <c r="DG104" t="s">
        <v>3</v>
      </c>
      <c r="DH104" t="s">
        <v>3</v>
      </c>
      <c r="DI104" t="s">
        <v>3</v>
      </c>
      <c r="DJ104" t="s">
        <v>3</v>
      </c>
      <c r="DK104" t="s">
        <v>3</v>
      </c>
      <c r="DL104" t="s">
        <v>3</v>
      </c>
      <c r="DM104" t="s">
        <v>3</v>
      </c>
      <c r="DN104">
        <v>0</v>
      </c>
      <c r="DO104">
        <v>0</v>
      </c>
      <c r="DP104">
        <v>1</v>
      </c>
      <c r="DQ104">
        <v>1</v>
      </c>
      <c r="DU104">
        <v>1013</v>
      </c>
      <c r="DV104" t="s">
        <v>115</v>
      </c>
      <c r="DW104" t="s">
        <v>115</v>
      </c>
      <c r="DX104">
        <v>1</v>
      </c>
      <c r="DZ104" t="s">
        <v>3</v>
      </c>
      <c r="EA104" t="s">
        <v>3</v>
      </c>
      <c r="EB104" t="s">
        <v>3</v>
      </c>
      <c r="EC104" t="s">
        <v>3</v>
      </c>
      <c r="EE104">
        <v>86834900</v>
      </c>
      <c r="EF104">
        <v>4</v>
      </c>
      <c r="EG104" t="s">
        <v>107</v>
      </c>
      <c r="EH104">
        <v>83</v>
      </c>
      <c r="EI104" t="s">
        <v>107</v>
      </c>
      <c r="EJ104">
        <v>4</v>
      </c>
      <c r="EK104">
        <v>200001</v>
      </c>
      <c r="EL104" t="s">
        <v>108</v>
      </c>
      <c r="EM104" t="s">
        <v>109</v>
      </c>
      <c r="EO104" t="s">
        <v>3</v>
      </c>
      <c r="EQ104">
        <v>256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4.8600000000000003</v>
      </c>
      <c r="EX104">
        <v>0</v>
      </c>
      <c r="EY104">
        <v>0</v>
      </c>
      <c r="FQ104">
        <v>0</v>
      </c>
      <c r="FR104">
        <v>0</v>
      </c>
      <c r="FS104">
        <v>0</v>
      </c>
      <c r="FX104">
        <v>74</v>
      </c>
      <c r="FY104">
        <v>36</v>
      </c>
      <c r="GA104" t="s">
        <v>3</v>
      </c>
      <c r="GD104">
        <v>1</v>
      </c>
      <c r="GF104">
        <v>-1163646584</v>
      </c>
      <c r="GG104">
        <v>2</v>
      </c>
      <c r="GH104">
        <v>1</v>
      </c>
      <c r="GI104">
        <v>-2</v>
      </c>
      <c r="GJ104">
        <v>0</v>
      </c>
      <c r="GK104">
        <v>0</v>
      </c>
      <c r="GL104">
        <f>ROUND(IF(AND(BH104=3,BI104=3,FS104&lt;&gt;0),P104,0),2)</f>
        <v>0</v>
      </c>
      <c r="GM104">
        <f>ROUND(O104+X104+Y104,2)+GX104</f>
        <v>6545.3</v>
      </c>
      <c r="GN104">
        <f>IF(OR(BI104=0,BI104=1),GM104-GX104,0)</f>
        <v>0</v>
      </c>
      <c r="GO104">
        <f>IF(BI104=2,GM104-GX104,0)</f>
        <v>0</v>
      </c>
      <c r="GP104">
        <f>IF(BI104=4,GM104-GX104,0)</f>
        <v>6545.3</v>
      </c>
      <c r="GR104">
        <v>0</v>
      </c>
      <c r="GS104">
        <v>0</v>
      </c>
      <c r="GT104">
        <v>0</v>
      </c>
      <c r="GU104" t="s">
        <v>3</v>
      </c>
      <c r="GV104">
        <f>ROUND((GT104),6)</f>
        <v>0</v>
      </c>
      <c r="GW104">
        <v>1</v>
      </c>
      <c r="GX104">
        <f>ROUND(HC104*I104,2)</f>
        <v>0</v>
      </c>
      <c r="HA104">
        <v>0</v>
      </c>
      <c r="HB104">
        <v>0</v>
      </c>
      <c r="HC104">
        <f>GV104*GW104</f>
        <v>0</v>
      </c>
      <c r="HE104" t="s">
        <v>3</v>
      </c>
      <c r="HF104" t="s">
        <v>3</v>
      </c>
      <c r="HM104" t="s">
        <v>3</v>
      </c>
      <c r="HN104" t="s">
        <v>110</v>
      </c>
      <c r="HO104" t="s">
        <v>111</v>
      </c>
      <c r="HP104" t="s">
        <v>107</v>
      </c>
      <c r="HQ104" t="s">
        <v>107</v>
      </c>
      <c r="HS104">
        <v>0</v>
      </c>
      <c r="IK104">
        <v>0</v>
      </c>
    </row>
    <row r="105" spans="1:245" x14ac:dyDescent="0.2">
      <c r="A105">
        <v>17</v>
      </c>
      <c r="B105">
        <v>1</v>
      </c>
      <c r="C105">
        <f>ROW(SmtRes!A29)</f>
        <v>29</v>
      </c>
      <c r="D105">
        <f>ROW(EtalonRes!A32)</f>
        <v>32</v>
      </c>
      <c r="E105" t="s">
        <v>117</v>
      </c>
      <c r="F105" t="s">
        <v>118</v>
      </c>
      <c r="G105" t="s">
        <v>119</v>
      </c>
      <c r="H105" t="s">
        <v>87</v>
      </c>
      <c r="I105">
        <v>3</v>
      </c>
      <c r="J105">
        <v>0</v>
      </c>
      <c r="K105">
        <v>3</v>
      </c>
      <c r="O105">
        <f>ROUND(CP105,2)</f>
        <v>3484.11</v>
      </c>
      <c r="P105">
        <f>SUMIF(SmtRes!AQ28:'SmtRes'!AQ29,"=1",SmtRes!DF28:'SmtRes'!DF29)</f>
        <v>0</v>
      </c>
      <c r="Q105">
        <f>SUMIF(SmtRes!AQ28:'SmtRes'!AQ29,"=1",SmtRes!DG28:'SmtRes'!DG29)</f>
        <v>0</v>
      </c>
      <c r="R105">
        <f>SUMIF(SmtRes!AQ28:'SmtRes'!AQ29,"=1",SmtRes!DH28:'SmtRes'!DH29)</f>
        <v>0</v>
      </c>
      <c r="S105">
        <f>SUMIF(SmtRes!AQ28:'SmtRes'!AQ29,"=1",SmtRes!DI28:'SmtRes'!DI29)</f>
        <v>3484.11</v>
      </c>
      <c r="T105">
        <f>ROUND(CU105*I105,2)</f>
        <v>0</v>
      </c>
      <c r="U105">
        <f>SUMIF(SmtRes!AQ28:'SmtRes'!AQ29,"=1",SmtRes!CV28:'SmtRes'!CV29)</f>
        <v>4.8600000000000003</v>
      </c>
      <c r="V105">
        <f>SUMIF(SmtRes!AQ28:'SmtRes'!AQ29,"=1",SmtRes!CW28:'SmtRes'!CW29)</f>
        <v>0</v>
      </c>
      <c r="W105">
        <f>ROUND(CX105*I105,2)</f>
        <v>0</v>
      </c>
      <c r="X105">
        <f t="shared" si="40"/>
        <v>2578.2399999999998</v>
      </c>
      <c r="Y105">
        <f t="shared" si="40"/>
        <v>1254.28</v>
      </c>
      <c r="AA105">
        <v>88041693</v>
      </c>
      <c r="AB105">
        <f>ROUND((AC105+AD105+AF105),6)</f>
        <v>1161.3698999999999</v>
      </c>
      <c r="AC105">
        <f>ROUND((0),6)</f>
        <v>0</v>
      </c>
      <c r="AD105">
        <f>ROUND((((0)-(0))+AE105),6)</f>
        <v>0</v>
      </c>
      <c r="AE105">
        <f>ROUND((0),6)</f>
        <v>0</v>
      </c>
      <c r="AF105">
        <f>ROUND((SUM(SmtRes!BT28:'SmtRes'!BT29)),6)</f>
        <v>1161.3698999999999</v>
      </c>
      <c r="AG105">
        <f>ROUND((AP105),6)</f>
        <v>0</v>
      </c>
      <c r="AH105">
        <f>(SUM(SmtRes!BU28:'SmtRes'!BU29))</f>
        <v>1.62</v>
      </c>
      <c r="AI105">
        <f>(0)</f>
        <v>0</v>
      </c>
      <c r="AJ105">
        <f>(AS105)</f>
        <v>0</v>
      </c>
      <c r="AK105">
        <v>1161.3699000000001</v>
      </c>
      <c r="AL105">
        <v>0</v>
      </c>
      <c r="AM105">
        <v>0</v>
      </c>
      <c r="AN105">
        <v>0</v>
      </c>
      <c r="AO105">
        <v>1161.3699000000001</v>
      </c>
      <c r="AP105">
        <v>0</v>
      </c>
      <c r="AQ105">
        <v>1.62</v>
      </c>
      <c r="AR105">
        <v>0</v>
      </c>
      <c r="AS105">
        <v>0</v>
      </c>
      <c r="AT105">
        <v>74</v>
      </c>
      <c r="AU105">
        <v>36</v>
      </c>
      <c r="AV105">
        <v>1</v>
      </c>
      <c r="AW105">
        <v>1</v>
      </c>
      <c r="AZ105">
        <v>1</v>
      </c>
      <c r="BA105">
        <v>1</v>
      </c>
      <c r="BB105">
        <v>1</v>
      </c>
      <c r="BC105">
        <v>1</v>
      </c>
      <c r="BD105" t="s">
        <v>3</v>
      </c>
      <c r="BE105" t="s">
        <v>3</v>
      </c>
      <c r="BF105" t="s">
        <v>3</v>
      </c>
      <c r="BG105" t="s">
        <v>3</v>
      </c>
      <c r="BH105">
        <v>0</v>
      </c>
      <c r="BI105">
        <v>4</v>
      </c>
      <c r="BJ105" t="s">
        <v>120</v>
      </c>
      <c r="BM105">
        <v>200001</v>
      </c>
      <c r="BN105">
        <v>0</v>
      </c>
      <c r="BO105" t="s">
        <v>3</v>
      </c>
      <c r="BP105">
        <v>0</v>
      </c>
      <c r="BQ105">
        <v>4</v>
      </c>
      <c r="BR105">
        <v>0</v>
      </c>
      <c r="BS105">
        <v>1</v>
      </c>
      <c r="BT105">
        <v>1</v>
      </c>
      <c r="BU105">
        <v>1</v>
      </c>
      <c r="BV105">
        <v>1</v>
      </c>
      <c r="BW105">
        <v>1</v>
      </c>
      <c r="BX105">
        <v>1</v>
      </c>
      <c r="BY105" t="s">
        <v>3</v>
      </c>
      <c r="BZ105">
        <v>74</v>
      </c>
      <c r="CA105">
        <v>36</v>
      </c>
      <c r="CB105" t="s">
        <v>3</v>
      </c>
      <c r="CE105">
        <v>0</v>
      </c>
      <c r="CF105">
        <v>0</v>
      </c>
      <c r="CG105">
        <v>0</v>
      </c>
      <c r="CM105">
        <v>0</v>
      </c>
      <c r="CN105" t="s">
        <v>3</v>
      </c>
      <c r="CO105">
        <v>0</v>
      </c>
      <c r="CP105">
        <f>(P105+Q105+S105+R105)</f>
        <v>3484.11</v>
      </c>
      <c r="CQ105">
        <f>SUMIF(SmtRes!AQ28:'SmtRes'!AQ29,"=1",SmtRes!AA28:'SmtRes'!AA29)</f>
        <v>0</v>
      </c>
      <c r="CR105">
        <f>SUMIF(SmtRes!AQ28:'SmtRes'!AQ29,"=1",SmtRes!AB28:'SmtRes'!AB29)</f>
        <v>0</v>
      </c>
      <c r="CS105">
        <f>SUMIF(SmtRes!AQ28:'SmtRes'!AQ29,"=1",SmtRes!AC28:'SmtRes'!AC29)</f>
        <v>0</v>
      </c>
      <c r="CT105">
        <f>SUMIF(SmtRes!AQ28:'SmtRes'!AQ29,"=1",SmtRes!AD28:'SmtRes'!AD29)</f>
        <v>1433.79</v>
      </c>
      <c r="CU105">
        <f>AG105</f>
        <v>0</v>
      </c>
      <c r="CV105">
        <f>SUMIF(SmtRes!AQ28:'SmtRes'!AQ29,"=1",SmtRes!BU28:'SmtRes'!BU29)</f>
        <v>1.62</v>
      </c>
      <c r="CW105">
        <f>SUMIF(SmtRes!AQ28:'SmtRes'!AQ29,"=1",SmtRes!BV28:'SmtRes'!BV29)</f>
        <v>0</v>
      </c>
      <c r="CX105">
        <f>AJ105</f>
        <v>0</v>
      </c>
      <c r="CY105">
        <f>(((S105+R105)*AT105)/100)</f>
        <v>2578.2414000000003</v>
      </c>
      <c r="CZ105">
        <f>(((S105+R105)*AU105)/100)</f>
        <v>1254.2796000000001</v>
      </c>
      <c r="DC105" t="s">
        <v>3</v>
      </c>
      <c r="DD105" t="s">
        <v>3</v>
      </c>
      <c r="DE105" t="s">
        <v>3</v>
      </c>
      <c r="DF105" t="s">
        <v>3</v>
      </c>
      <c r="DG105" t="s">
        <v>3</v>
      </c>
      <c r="DH105" t="s">
        <v>3</v>
      </c>
      <c r="DI105" t="s">
        <v>3</v>
      </c>
      <c r="DJ105" t="s">
        <v>3</v>
      </c>
      <c r="DK105" t="s">
        <v>3</v>
      </c>
      <c r="DL105" t="s">
        <v>3</v>
      </c>
      <c r="DM105" t="s">
        <v>3</v>
      </c>
      <c r="DN105">
        <v>0</v>
      </c>
      <c r="DO105">
        <v>0</v>
      </c>
      <c r="DP105">
        <v>1</v>
      </c>
      <c r="DQ105">
        <v>1</v>
      </c>
      <c r="DU105">
        <v>1013</v>
      </c>
      <c r="DV105" t="s">
        <v>87</v>
      </c>
      <c r="DW105" t="s">
        <v>87</v>
      </c>
      <c r="DX105">
        <v>1</v>
      </c>
      <c r="DZ105" t="s">
        <v>3</v>
      </c>
      <c r="EA105" t="s">
        <v>3</v>
      </c>
      <c r="EB105" t="s">
        <v>3</v>
      </c>
      <c r="EC105" t="s">
        <v>3</v>
      </c>
      <c r="EE105">
        <v>86834900</v>
      </c>
      <c r="EF105">
        <v>4</v>
      </c>
      <c r="EG105" t="s">
        <v>107</v>
      </c>
      <c r="EH105">
        <v>83</v>
      </c>
      <c r="EI105" t="s">
        <v>107</v>
      </c>
      <c r="EJ105">
        <v>4</v>
      </c>
      <c r="EK105">
        <v>200001</v>
      </c>
      <c r="EL105" t="s">
        <v>108</v>
      </c>
      <c r="EM105" t="s">
        <v>109</v>
      </c>
      <c r="EO105" t="s">
        <v>3</v>
      </c>
      <c r="EQ105">
        <v>256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1.62</v>
      </c>
      <c r="EX105">
        <v>0</v>
      </c>
      <c r="EY105">
        <v>0</v>
      </c>
      <c r="FQ105">
        <v>0</v>
      </c>
      <c r="FR105">
        <v>0</v>
      </c>
      <c r="FS105">
        <v>0</v>
      </c>
      <c r="FX105">
        <v>74</v>
      </c>
      <c r="FY105">
        <v>36</v>
      </c>
      <c r="GA105" t="s">
        <v>3</v>
      </c>
      <c r="GD105">
        <v>1</v>
      </c>
      <c r="GF105">
        <v>-1662787883</v>
      </c>
      <c r="GG105">
        <v>2</v>
      </c>
      <c r="GH105">
        <v>1</v>
      </c>
      <c r="GI105">
        <v>-2</v>
      </c>
      <c r="GJ105">
        <v>0</v>
      </c>
      <c r="GK105">
        <v>0</v>
      </c>
      <c r="GL105">
        <f>ROUND(IF(AND(BH105=3,BI105=3,FS105&lt;&gt;0),P105,0),2)</f>
        <v>0</v>
      </c>
      <c r="GM105">
        <f>ROUND(O105+X105+Y105,2)+GX105</f>
        <v>7316.63</v>
      </c>
      <c r="GN105">
        <f>IF(OR(BI105=0,BI105=1),GM105-GX105,0)</f>
        <v>0</v>
      </c>
      <c r="GO105">
        <f>IF(BI105=2,GM105-GX105,0)</f>
        <v>0</v>
      </c>
      <c r="GP105">
        <f>IF(BI105=4,GM105-GX105,0)</f>
        <v>7316.63</v>
      </c>
      <c r="GR105">
        <v>0</v>
      </c>
      <c r="GS105">
        <v>0</v>
      </c>
      <c r="GT105">
        <v>0</v>
      </c>
      <c r="GU105" t="s">
        <v>3</v>
      </c>
      <c r="GV105">
        <f>ROUND((GT105),6)</f>
        <v>0</v>
      </c>
      <c r="GW105">
        <v>1</v>
      </c>
      <c r="GX105">
        <f>ROUND(HC105*I105,2)</f>
        <v>0</v>
      </c>
      <c r="HA105">
        <v>0</v>
      </c>
      <c r="HB105">
        <v>0</v>
      </c>
      <c r="HC105">
        <f>GV105*GW105</f>
        <v>0</v>
      </c>
      <c r="HE105" t="s">
        <v>3</v>
      </c>
      <c r="HF105" t="s">
        <v>3</v>
      </c>
      <c r="HM105" t="s">
        <v>3</v>
      </c>
      <c r="HN105" t="s">
        <v>110</v>
      </c>
      <c r="HO105" t="s">
        <v>111</v>
      </c>
      <c r="HP105" t="s">
        <v>107</v>
      </c>
      <c r="HQ105" t="s">
        <v>107</v>
      </c>
      <c r="HS105">
        <v>0</v>
      </c>
      <c r="IK105">
        <v>0</v>
      </c>
    </row>
    <row r="106" spans="1:245" x14ac:dyDescent="0.2">
      <c r="A106">
        <v>17</v>
      </c>
      <c r="B106">
        <v>1</v>
      </c>
      <c r="C106">
        <f>ROW(SmtRes!A31)</f>
        <v>31</v>
      </c>
      <c r="D106">
        <f>ROW(EtalonRes!A34)</f>
        <v>34</v>
      </c>
      <c r="E106" t="s">
        <v>121</v>
      </c>
      <c r="F106" t="s">
        <v>122</v>
      </c>
      <c r="G106" t="s">
        <v>123</v>
      </c>
      <c r="H106" t="s">
        <v>124</v>
      </c>
      <c r="I106">
        <v>1</v>
      </c>
      <c r="J106">
        <v>0</v>
      </c>
      <c r="K106">
        <v>1</v>
      </c>
      <c r="O106">
        <f>ROUND(CP106,2)</f>
        <v>18881.580000000002</v>
      </c>
      <c r="P106">
        <f>SUMIF(SmtRes!AQ30:'SmtRes'!AQ31,"=1",SmtRes!DF30:'SmtRes'!DF31)</f>
        <v>0</v>
      </c>
      <c r="Q106">
        <f>SUMIF(SmtRes!AQ30:'SmtRes'!AQ31,"=1",SmtRes!DG30:'SmtRes'!DG31)</f>
        <v>0</v>
      </c>
      <c r="R106">
        <f>SUMIF(SmtRes!AQ30:'SmtRes'!AQ31,"=1",SmtRes!DH30:'SmtRes'!DH31)</f>
        <v>0</v>
      </c>
      <c r="S106">
        <f>SUMIF(SmtRes!AQ30:'SmtRes'!AQ31,"=1",SmtRes!DI30:'SmtRes'!DI31)</f>
        <v>18881.580000000002</v>
      </c>
      <c r="T106">
        <f>ROUND(CU106*I106,2)</f>
        <v>0</v>
      </c>
      <c r="U106">
        <f>SUMIF(SmtRes!AQ30:'SmtRes'!AQ31,"=1",SmtRes!CV30:'SmtRes'!CV31)</f>
        <v>26.338000000000001</v>
      </c>
      <c r="V106">
        <f>SUMIF(SmtRes!AQ30:'SmtRes'!AQ31,"=1",SmtRes!CW30:'SmtRes'!CW31)</f>
        <v>0</v>
      </c>
      <c r="W106">
        <f>ROUND(CX106*I106,2)</f>
        <v>0</v>
      </c>
      <c r="X106">
        <f t="shared" si="40"/>
        <v>13972.37</v>
      </c>
      <c r="Y106">
        <f t="shared" si="40"/>
        <v>6797.37</v>
      </c>
      <c r="AA106">
        <v>88041693</v>
      </c>
      <c r="AB106">
        <f>ROUND((AC106+AD106+AF106),6)</f>
        <v>18881.58051</v>
      </c>
      <c r="AC106">
        <f>ROUND((0),6)</f>
        <v>0</v>
      </c>
      <c r="AD106">
        <f>ROUND((((0)-(0))+AE106),6)</f>
        <v>0</v>
      </c>
      <c r="AE106">
        <f>ROUND((0),6)</f>
        <v>0</v>
      </c>
      <c r="AF106">
        <f>ROUND((SUM(SmtRes!BT30:'SmtRes'!BT31)),6)</f>
        <v>18881.58051</v>
      </c>
      <c r="AG106">
        <f>ROUND((AP106),6)</f>
        <v>0</v>
      </c>
      <c r="AH106">
        <f>(SUM(SmtRes!BU30:'SmtRes'!BU31))</f>
        <v>26.338000000000001</v>
      </c>
      <c r="AI106">
        <f>(0)</f>
        <v>0</v>
      </c>
      <c r="AJ106">
        <f>(AS106)</f>
        <v>0</v>
      </c>
      <c r="AK106">
        <v>14524.292700000002</v>
      </c>
      <c r="AL106">
        <v>0</v>
      </c>
      <c r="AM106">
        <v>0</v>
      </c>
      <c r="AN106">
        <v>0</v>
      </c>
      <c r="AO106">
        <v>14524.292700000002</v>
      </c>
      <c r="AP106">
        <v>0</v>
      </c>
      <c r="AQ106">
        <v>20.260000000000002</v>
      </c>
      <c r="AR106">
        <v>0</v>
      </c>
      <c r="AS106">
        <v>0</v>
      </c>
      <c r="AT106">
        <v>74</v>
      </c>
      <c r="AU106">
        <v>36</v>
      </c>
      <c r="AV106">
        <v>1</v>
      </c>
      <c r="AW106">
        <v>1</v>
      </c>
      <c r="AZ106">
        <v>1</v>
      </c>
      <c r="BA106">
        <v>1</v>
      </c>
      <c r="BB106">
        <v>1</v>
      </c>
      <c r="BC106">
        <v>1</v>
      </c>
      <c r="BD106" t="s">
        <v>3</v>
      </c>
      <c r="BE106" t="s">
        <v>3</v>
      </c>
      <c r="BF106" t="s">
        <v>3</v>
      </c>
      <c r="BG106" t="s">
        <v>3</v>
      </c>
      <c r="BH106">
        <v>0</v>
      </c>
      <c r="BI106">
        <v>4</v>
      </c>
      <c r="BJ106" t="s">
        <v>125</v>
      </c>
      <c r="BM106">
        <v>200001</v>
      </c>
      <c r="BN106">
        <v>0</v>
      </c>
      <c r="BO106" t="s">
        <v>3</v>
      </c>
      <c r="BP106">
        <v>0</v>
      </c>
      <c r="BQ106">
        <v>4</v>
      </c>
      <c r="BR106">
        <v>0</v>
      </c>
      <c r="BS106">
        <v>1</v>
      </c>
      <c r="BT106">
        <v>1</v>
      </c>
      <c r="BU106">
        <v>1</v>
      </c>
      <c r="BV106">
        <v>1</v>
      </c>
      <c r="BW106">
        <v>1</v>
      </c>
      <c r="BX106">
        <v>1</v>
      </c>
      <c r="BY106" t="s">
        <v>3</v>
      </c>
      <c r="BZ106">
        <v>74</v>
      </c>
      <c r="CA106">
        <v>36</v>
      </c>
      <c r="CB106" t="s">
        <v>3</v>
      </c>
      <c r="CE106">
        <v>0</v>
      </c>
      <c r="CF106">
        <v>0</v>
      </c>
      <c r="CG106">
        <v>0</v>
      </c>
      <c r="CM106">
        <v>0</v>
      </c>
      <c r="CN106" t="s">
        <v>3</v>
      </c>
      <c r="CO106">
        <v>0</v>
      </c>
      <c r="CP106">
        <f>(P106+Q106+S106+R106)</f>
        <v>18881.580000000002</v>
      </c>
      <c r="CQ106">
        <f>SUMIF(SmtRes!AQ30:'SmtRes'!AQ31,"=1",SmtRes!AA30:'SmtRes'!AA31)</f>
        <v>0</v>
      </c>
      <c r="CR106">
        <f>SUMIF(SmtRes!AQ30:'SmtRes'!AQ31,"=1",SmtRes!AB30:'SmtRes'!AB31)</f>
        <v>0</v>
      </c>
      <c r="CS106">
        <f>SUMIF(SmtRes!AQ30:'SmtRes'!AQ31,"=1",SmtRes!AC30:'SmtRes'!AC31)</f>
        <v>0</v>
      </c>
      <c r="CT106">
        <f>SUMIF(SmtRes!AQ30:'SmtRes'!AQ31,"=1",SmtRes!AD30:'SmtRes'!AD31)</f>
        <v>1433.79</v>
      </c>
      <c r="CU106">
        <f>AG106</f>
        <v>0</v>
      </c>
      <c r="CV106">
        <f>SUMIF(SmtRes!AQ30:'SmtRes'!AQ31,"=1",SmtRes!BU30:'SmtRes'!BU31)</f>
        <v>26.338000000000001</v>
      </c>
      <c r="CW106">
        <f>SUMIF(SmtRes!AQ30:'SmtRes'!AQ31,"=1",SmtRes!BV30:'SmtRes'!BV31)</f>
        <v>0</v>
      </c>
      <c r="CX106">
        <f>AJ106</f>
        <v>0</v>
      </c>
      <c r="CY106">
        <f>(((S106+R106)*AT106)/100)</f>
        <v>13972.369200000001</v>
      </c>
      <c r="CZ106">
        <f>(((S106+R106)*AU106)/100)</f>
        <v>6797.3688000000011</v>
      </c>
      <c r="DC106" t="s">
        <v>3</v>
      </c>
      <c r="DD106" t="s">
        <v>3</v>
      </c>
      <c r="DE106" t="s">
        <v>126</v>
      </c>
      <c r="DF106" t="s">
        <v>126</v>
      </c>
      <c r="DG106" t="s">
        <v>126</v>
      </c>
      <c r="DH106" t="s">
        <v>3</v>
      </c>
      <c r="DI106" t="s">
        <v>126</v>
      </c>
      <c r="DJ106" t="s">
        <v>126</v>
      </c>
      <c r="DK106" t="s">
        <v>3</v>
      </c>
      <c r="DL106" t="s">
        <v>3</v>
      </c>
      <c r="DM106" t="s">
        <v>3</v>
      </c>
      <c r="DN106">
        <v>0</v>
      </c>
      <c r="DO106">
        <v>0</v>
      </c>
      <c r="DP106">
        <v>1</v>
      </c>
      <c r="DQ106">
        <v>1</v>
      </c>
      <c r="DU106">
        <v>1013</v>
      </c>
      <c r="DV106" t="s">
        <v>124</v>
      </c>
      <c r="DW106" t="s">
        <v>124</v>
      </c>
      <c r="DX106">
        <v>1</v>
      </c>
      <c r="DZ106" t="s">
        <v>3</v>
      </c>
      <c r="EA106" t="s">
        <v>3</v>
      </c>
      <c r="EB106" t="s">
        <v>3</v>
      </c>
      <c r="EC106" t="s">
        <v>3</v>
      </c>
      <c r="EE106">
        <v>86834900</v>
      </c>
      <c r="EF106">
        <v>4</v>
      </c>
      <c r="EG106" t="s">
        <v>107</v>
      </c>
      <c r="EH106">
        <v>83</v>
      </c>
      <c r="EI106" t="s">
        <v>107</v>
      </c>
      <c r="EJ106">
        <v>4</v>
      </c>
      <c r="EK106">
        <v>200001</v>
      </c>
      <c r="EL106" t="s">
        <v>108</v>
      </c>
      <c r="EM106" t="s">
        <v>109</v>
      </c>
      <c r="EO106" t="s">
        <v>3</v>
      </c>
      <c r="EQ106">
        <v>256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20.260000000000002</v>
      </c>
      <c r="EX106">
        <v>0</v>
      </c>
      <c r="EY106">
        <v>0</v>
      </c>
      <c r="FQ106">
        <v>0</v>
      </c>
      <c r="FR106">
        <v>0</v>
      </c>
      <c r="FS106">
        <v>0</v>
      </c>
      <c r="FX106">
        <v>74</v>
      </c>
      <c r="FY106">
        <v>36</v>
      </c>
      <c r="GA106" t="s">
        <v>3</v>
      </c>
      <c r="GD106">
        <v>1</v>
      </c>
      <c r="GF106">
        <v>238800536</v>
      </c>
      <c r="GG106">
        <v>2</v>
      </c>
      <c r="GH106">
        <v>1</v>
      </c>
      <c r="GI106">
        <v>-2</v>
      </c>
      <c r="GJ106">
        <v>0</v>
      </c>
      <c r="GK106">
        <v>0</v>
      </c>
      <c r="GL106">
        <f>ROUND(IF(AND(BH106=3,BI106=3,FS106&lt;&gt;0),P106,0),2)</f>
        <v>0</v>
      </c>
      <c r="GM106">
        <f>ROUND(O106+X106+Y106,2)+GX106</f>
        <v>39651.32</v>
      </c>
      <c r="GN106">
        <f>IF(OR(BI106=0,BI106=1),GM106-GX106,0)</f>
        <v>0</v>
      </c>
      <c r="GO106">
        <f>IF(BI106=2,GM106-GX106,0)</f>
        <v>0</v>
      </c>
      <c r="GP106">
        <f>IF(BI106=4,GM106-GX106,0)</f>
        <v>39651.32</v>
      </c>
      <c r="GR106">
        <v>0</v>
      </c>
      <c r="GS106">
        <v>0</v>
      </c>
      <c r="GT106">
        <v>0</v>
      </c>
      <c r="GU106" t="s">
        <v>3</v>
      </c>
      <c r="GV106">
        <f>ROUND((GT106),6)</f>
        <v>0</v>
      </c>
      <c r="GW106">
        <v>1</v>
      </c>
      <c r="GX106">
        <f>ROUND(HC106*I106,2)</f>
        <v>0</v>
      </c>
      <c r="HA106">
        <v>0</v>
      </c>
      <c r="HB106">
        <v>0</v>
      </c>
      <c r="HC106">
        <f>GV106*GW106</f>
        <v>0</v>
      </c>
      <c r="HE106" t="s">
        <v>3</v>
      </c>
      <c r="HF106" t="s">
        <v>3</v>
      </c>
      <c r="HM106" t="s">
        <v>3</v>
      </c>
      <c r="HN106" t="s">
        <v>110</v>
      </c>
      <c r="HO106" t="s">
        <v>111</v>
      </c>
      <c r="HP106" t="s">
        <v>107</v>
      </c>
      <c r="HQ106" t="s">
        <v>107</v>
      </c>
      <c r="HS106">
        <v>0</v>
      </c>
      <c r="IK106">
        <v>0</v>
      </c>
    </row>
    <row r="108" spans="1:245" x14ac:dyDescent="0.2">
      <c r="A108" s="2">
        <v>51</v>
      </c>
      <c r="B108" s="2">
        <f>B99</f>
        <v>1</v>
      </c>
      <c r="C108" s="2">
        <f>A99</f>
        <v>4</v>
      </c>
      <c r="D108" s="2">
        <f>ROW(A99)</f>
        <v>99</v>
      </c>
      <c r="E108" s="2"/>
      <c r="F108" s="2" t="str">
        <f>IF(F99&lt;&gt;"",F99,"")</f>
        <v>Новый раздел</v>
      </c>
      <c r="G108" s="2" t="str">
        <f>IF(G99&lt;&gt;"",G99,"")</f>
        <v>ПНР</v>
      </c>
      <c r="H108" s="2">
        <v>0</v>
      </c>
      <c r="I108" s="2"/>
      <c r="J108" s="2"/>
      <c r="K108" s="2"/>
      <c r="L108" s="2"/>
      <c r="M108" s="2"/>
      <c r="N108" s="2"/>
      <c r="O108" s="2">
        <f t="shared" ref="O108:T108" si="41">ROUND(AB108,2)</f>
        <v>25575.41</v>
      </c>
      <c r="P108" s="2">
        <f t="shared" si="41"/>
        <v>0</v>
      </c>
      <c r="Q108" s="2">
        <f t="shared" si="41"/>
        <v>0</v>
      </c>
      <c r="R108" s="2">
        <f t="shared" si="41"/>
        <v>0</v>
      </c>
      <c r="S108" s="2">
        <f t="shared" si="41"/>
        <v>25575.41</v>
      </c>
      <c r="T108" s="2">
        <f t="shared" si="41"/>
        <v>0</v>
      </c>
      <c r="U108" s="2">
        <f>AH108</f>
        <v>36.187600000000003</v>
      </c>
      <c r="V108" s="2">
        <f>AI108</f>
        <v>0</v>
      </c>
      <c r="W108" s="2">
        <f>ROUND(AJ108,2)</f>
        <v>0</v>
      </c>
      <c r="X108" s="2">
        <f>ROUND(AK108,2)</f>
        <v>18925.8</v>
      </c>
      <c r="Y108" s="2">
        <f>ROUND(AL108,2)</f>
        <v>9207.15</v>
      </c>
      <c r="Z108" s="2"/>
      <c r="AA108" s="2"/>
      <c r="AB108" s="2">
        <f>ROUND(SUMIF(AA103:AA106,"=88041693",O103:O106),2)</f>
        <v>25575.41</v>
      </c>
      <c r="AC108" s="2">
        <f>ROUND(SUMIF(AA103:AA106,"=88041693",P103:P106),2)</f>
        <v>0</v>
      </c>
      <c r="AD108" s="2">
        <f>ROUND(SUMIF(AA103:AA106,"=88041693",Q103:Q106),2)</f>
        <v>0</v>
      </c>
      <c r="AE108" s="2">
        <f>ROUND(SUMIF(AA103:AA106,"=88041693",R103:R106),2)</f>
        <v>0</v>
      </c>
      <c r="AF108" s="2">
        <f>ROUND(SUMIF(AA103:AA106,"=88041693",S103:S106),2)</f>
        <v>25575.41</v>
      </c>
      <c r="AG108" s="2">
        <f>ROUND(SUMIF(AA103:AA106,"=88041693",T103:T106),2)</f>
        <v>0</v>
      </c>
      <c r="AH108" s="2">
        <f>SUMIF(AA103:AA106,"=88041693",U103:U106)</f>
        <v>36.187600000000003</v>
      </c>
      <c r="AI108" s="2">
        <f>SUMIF(AA103:AA106,"=88041693",V103:V106)</f>
        <v>0</v>
      </c>
      <c r="AJ108" s="2">
        <f>ROUND(SUMIF(AA103:AA106,"=88041693",W103:W106),2)</f>
        <v>0</v>
      </c>
      <c r="AK108" s="2">
        <f>ROUND(SUMIF(AA103:AA106,"=88041693",X103:X106),2)</f>
        <v>18925.8</v>
      </c>
      <c r="AL108" s="2">
        <f>ROUND(SUMIF(AA103:AA106,"=88041693",Y103:Y106),2)</f>
        <v>9207.15</v>
      </c>
      <c r="AM108" s="2"/>
      <c r="AN108" s="2"/>
      <c r="AO108" s="2">
        <f t="shared" ref="AO108:BD108" si="42">ROUND(BX108,2)</f>
        <v>0</v>
      </c>
      <c r="AP108" s="2">
        <f t="shared" si="42"/>
        <v>0</v>
      </c>
      <c r="AQ108" s="2">
        <f t="shared" si="42"/>
        <v>0</v>
      </c>
      <c r="AR108" s="2">
        <f t="shared" si="42"/>
        <v>53708.36</v>
      </c>
      <c r="AS108" s="2">
        <f t="shared" si="42"/>
        <v>0</v>
      </c>
      <c r="AT108" s="2">
        <f t="shared" si="42"/>
        <v>0</v>
      </c>
      <c r="AU108" s="2">
        <f t="shared" si="42"/>
        <v>53708.36</v>
      </c>
      <c r="AV108" s="2">
        <f t="shared" si="42"/>
        <v>0</v>
      </c>
      <c r="AW108" s="2">
        <f t="shared" si="42"/>
        <v>0</v>
      </c>
      <c r="AX108" s="2">
        <f t="shared" si="42"/>
        <v>0</v>
      </c>
      <c r="AY108" s="2">
        <f t="shared" si="42"/>
        <v>0</v>
      </c>
      <c r="AZ108" s="2">
        <f t="shared" si="42"/>
        <v>0</v>
      </c>
      <c r="BA108" s="2">
        <f t="shared" si="42"/>
        <v>0</v>
      </c>
      <c r="BB108" s="2">
        <f t="shared" si="42"/>
        <v>0</v>
      </c>
      <c r="BC108" s="2">
        <f t="shared" si="42"/>
        <v>0</v>
      </c>
      <c r="BD108" s="2">
        <f t="shared" si="42"/>
        <v>0</v>
      </c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>
        <f>ROUND(SUMIF(AA103:AA106,"=88041693",FQ103:FQ106),2)</f>
        <v>0</v>
      </c>
      <c r="BY108" s="2">
        <f>ROUND(SUMIF(AA103:AA106,"=88041693",FR103:FR106),2)</f>
        <v>0</v>
      </c>
      <c r="BZ108" s="2">
        <f>ROUND(SUMIF(AA103:AA106,"=88041693",GL103:GL106),2)</f>
        <v>0</v>
      </c>
      <c r="CA108" s="2">
        <f>ROUND(SUMIF(AA103:AA106,"=88041693",GM103:GM106),2)</f>
        <v>53708.36</v>
      </c>
      <c r="CB108" s="2">
        <f>ROUND(SUMIF(AA103:AA106,"=88041693",GN103:GN106),2)</f>
        <v>0</v>
      </c>
      <c r="CC108" s="2">
        <f>ROUND(SUMIF(AA103:AA106,"=88041693",GO103:GO106),2)</f>
        <v>0</v>
      </c>
      <c r="CD108" s="2">
        <f>ROUND(SUMIF(AA103:AA106,"=88041693",GP103:GP106),2)</f>
        <v>53708.36</v>
      </c>
      <c r="CE108" s="2">
        <f>AC108-BX108</f>
        <v>0</v>
      </c>
      <c r="CF108" s="2">
        <f>AC108-BY108</f>
        <v>0</v>
      </c>
      <c r="CG108" s="2">
        <f>BX108-BZ108</f>
        <v>0</v>
      </c>
      <c r="CH108" s="2">
        <f>AC108-BX108-BY108+BZ108</f>
        <v>0</v>
      </c>
      <c r="CI108" s="2">
        <f>BY108-BZ108</f>
        <v>0</v>
      </c>
      <c r="CJ108" s="2">
        <f>ROUND(SUMIF(AA103:AA106,"=88041693",GX103:GX106),2)</f>
        <v>0</v>
      </c>
      <c r="CK108" s="2">
        <f>ROUND(SUMIF(AA103:AA106,"=88041693",GY103:GY106),2)</f>
        <v>0</v>
      </c>
      <c r="CL108" s="2">
        <f>ROUND(SUMIF(AA103:AA106,"=88041693",GZ103:GZ106),2)</f>
        <v>0</v>
      </c>
      <c r="CM108" s="2">
        <f>ROUND(SUMIF(AA103:AA106,"=88041693",HD103:HD106),2)</f>
        <v>0</v>
      </c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>
        <v>0</v>
      </c>
    </row>
    <row r="110" spans="1:245" x14ac:dyDescent="0.2">
      <c r="A110" s="4">
        <v>50</v>
      </c>
      <c r="B110" s="4">
        <v>0</v>
      </c>
      <c r="C110" s="4">
        <v>0</v>
      </c>
      <c r="D110" s="4">
        <v>1</v>
      </c>
      <c r="E110" s="4">
        <v>201</v>
      </c>
      <c r="F110" s="4">
        <f>ROUND(Source!O108,O110)</f>
        <v>25575.41</v>
      </c>
      <c r="G110" s="4" t="s">
        <v>29</v>
      </c>
      <c r="H110" s="4" t="s">
        <v>30</v>
      </c>
      <c r="I110" s="4"/>
      <c r="J110" s="4"/>
      <c r="K110" s="4">
        <v>201</v>
      </c>
      <c r="L110" s="4">
        <v>1</v>
      </c>
      <c r="M110" s="4">
        <v>3</v>
      </c>
      <c r="N110" s="4" t="s">
        <v>3</v>
      </c>
      <c r="O110" s="4">
        <v>2</v>
      </c>
      <c r="P110" s="4"/>
      <c r="Q110" s="4"/>
      <c r="R110" s="4"/>
      <c r="S110" s="4"/>
      <c r="T110" s="4"/>
      <c r="U110" s="4"/>
      <c r="V110" s="4"/>
      <c r="W110" s="4">
        <v>25575.410000000003</v>
      </c>
      <c r="X110" s="4">
        <v>1</v>
      </c>
      <c r="Y110" s="4">
        <v>25575.410000000003</v>
      </c>
      <c r="Z110" s="4"/>
      <c r="AA110" s="4"/>
      <c r="AB110" s="4"/>
    </row>
    <row r="111" spans="1:245" x14ac:dyDescent="0.2">
      <c r="A111" s="4">
        <v>50</v>
      </c>
      <c r="B111" s="4">
        <v>0</v>
      </c>
      <c r="C111" s="4">
        <v>0</v>
      </c>
      <c r="D111" s="4">
        <v>1</v>
      </c>
      <c r="E111" s="4">
        <v>202</v>
      </c>
      <c r="F111" s="4">
        <f>ROUND(Source!P108,O111)</f>
        <v>0</v>
      </c>
      <c r="G111" s="4" t="s">
        <v>31</v>
      </c>
      <c r="H111" s="4" t="s">
        <v>32</v>
      </c>
      <c r="I111" s="4"/>
      <c r="J111" s="4"/>
      <c r="K111" s="4">
        <v>202</v>
      </c>
      <c r="L111" s="4">
        <v>2</v>
      </c>
      <c r="M111" s="4">
        <v>3</v>
      </c>
      <c r="N111" s="4" t="s">
        <v>3</v>
      </c>
      <c r="O111" s="4">
        <v>2</v>
      </c>
      <c r="P111" s="4"/>
      <c r="Q111" s="4"/>
      <c r="R111" s="4"/>
      <c r="S111" s="4"/>
      <c r="T111" s="4"/>
      <c r="U111" s="4"/>
      <c r="V111" s="4"/>
      <c r="W111" s="4">
        <v>0</v>
      </c>
      <c r="X111" s="4">
        <v>1</v>
      </c>
      <c r="Y111" s="4">
        <v>0</v>
      </c>
      <c r="Z111" s="4"/>
      <c r="AA111" s="4"/>
      <c r="AB111" s="4"/>
    </row>
    <row r="112" spans="1:245" x14ac:dyDescent="0.2">
      <c r="A112" s="4">
        <v>50</v>
      </c>
      <c r="B112" s="4">
        <v>0</v>
      </c>
      <c r="C112" s="4">
        <v>0</v>
      </c>
      <c r="D112" s="4">
        <v>1</v>
      </c>
      <c r="E112" s="4">
        <v>222</v>
      </c>
      <c r="F112" s="4">
        <f>ROUND(Source!AO108,O112)</f>
        <v>0</v>
      </c>
      <c r="G112" s="4" t="s">
        <v>33</v>
      </c>
      <c r="H112" s="4" t="s">
        <v>34</v>
      </c>
      <c r="I112" s="4"/>
      <c r="J112" s="4"/>
      <c r="K112" s="4">
        <v>222</v>
      </c>
      <c r="L112" s="4">
        <v>3</v>
      </c>
      <c r="M112" s="4">
        <v>3</v>
      </c>
      <c r="N112" s="4" t="s">
        <v>3</v>
      </c>
      <c r="O112" s="4">
        <v>2</v>
      </c>
      <c r="P112" s="4"/>
      <c r="Q112" s="4"/>
      <c r="R112" s="4"/>
      <c r="S112" s="4"/>
      <c r="T112" s="4"/>
      <c r="U112" s="4"/>
      <c r="V112" s="4"/>
      <c r="W112" s="4">
        <v>0</v>
      </c>
      <c r="X112" s="4">
        <v>1</v>
      </c>
      <c r="Y112" s="4">
        <v>0</v>
      </c>
      <c r="Z112" s="4"/>
      <c r="AA112" s="4"/>
      <c r="AB112" s="4"/>
    </row>
    <row r="113" spans="1:28" x14ac:dyDescent="0.2">
      <c r="A113" s="4">
        <v>50</v>
      </c>
      <c r="B113" s="4">
        <v>0</v>
      </c>
      <c r="C113" s="4">
        <v>0</v>
      </c>
      <c r="D113" s="4">
        <v>1</v>
      </c>
      <c r="E113" s="4">
        <v>225</v>
      </c>
      <c r="F113" s="4">
        <f>ROUND(Source!AV108,O113)</f>
        <v>0</v>
      </c>
      <c r="G113" s="4" t="s">
        <v>35</v>
      </c>
      <c r="H113" s="4" t="s">
        <v>36</v>
      </c>
      <c r="I113" s="4"/>
      <c r="J113" s="4"/>
      <c r="K113" s="4">
        <v>225</v>
      </c>
      <c r="L113" s="4">
        <v>4</v>
      </c>
      <c r="M113" s="4">
        <v>3</v>
      </c>
      <c r="N113" s="4" t="s">
        <v>3</v>
      </c>
      <c r="O113" s="4">
        <v>2</v>
      </c>
      <c r="P113" s="4"/>
      <c r="Q113" s="4"/>
      <c r="R113" s="4"/>
      <c r="S113" s="4"/>
      <c r="T113" s="4"/>
      <c r="U113" s="4"/>
      <c r="V113" s="4"/>
      <c r="W113" s="4">
        <v>0</v>
      </c>
      <c r="X113" s="4">
        <v>1</v>
      </c>
      <c r="Y113" s="4">
        <v>0</v>
      </c>
      <c r="Z113" s="4"/>
      <c r="AA113" s="4"/>
      <c r="AB113" s="4"/>
    </row>
    <row r="114" spans="1:28" x14ac:dyDescent="0.2">
      <c r="A114" s="4">
        <v>50</v>
      </c>
      <c r="B114" s="4">
        <v>0</v>
      </c>
      <c r="C114" s="4">
        <v>0</v>
      </c>
      <c r="D114" s="4">
        <v>1</v>
      </c>
      <c r="E114" s="4">
        <v>226</v>
      </c>
      <c r="F114" s="4">
        <f>ROUND(Source!AW108,O114)</f>
        <v>0</v>
      </c>
      <c r="G114" s="4" t="s">
        <v>37</v>
      </c>
      <c r="H114" s="4" t="s">
        <v>38</v>
      </c>
      <c r="I114" s="4"/>
      <c r="J114" s="4"/>
      <c r="K114" s="4">
        <v>226</v>
      </c>
      <c r="L114" s="4">
        <v>5</v>
      </c>
      <c r="M114" s="4">
        <v>3</v>
      </c>
      <c r="N114" s="4" t="s">
        <v>3</v>
      </c>
      <c r="O114" s="4">
        <v>2</v>
      </c>
      <c r="P114" s="4"/>
      <c r="Q114" s="4"/>
      <c r="R114" s="4"/>
      <c r="S114" s="4"/>
      <c r="T114" s="4"/>
      <c r="U114" s="4"/>
      <c r="V114" s="4"/>
      <c r="W114" s="4">
        <v>0</v>
      </c>
      <c r="X114" s="4">
        <v>1</v>
      </c>
      <c r="Y114" s="4">
        <v>0</v>
      </c>
      <c r="Z114" s="4"/>
      <c r="AA114" s="4"/>
      <c r="AB114" s="4"/>
    </row>
    <row r="115" spans="1:28" x14ac:dyDescent="0.2">
      <c r="A115" s="4">
        <v>50</v>
      </c>
      <c r="B115" s="4">
        <v>0</v>
      </c>
      <c r="C115" s="4">
        <v>0</v>
      </c>
      <c r="D115" s="4">
        <v>1</v>
      </c>
      <c r="E115" s="4">
        <v>227</v>
      </c>
      <c r="F115" s="4">
        <f>ROUND(Source!AX108,O115)</f>
        <v>0</v>
      </c>
      <c r="G115" s="4" t="s">
        <v>39</v>
      </c>
      <c r="H115" s="4" t="s">
        <v>40</v>
      </c>
      <c r="I115" s="4"/>
      <c r="J115" s="4"/>
      <c r="K115" s="4">
        <v>227</v>
      </c>
      <c r="L115" s="4">
        <v>6</v>
      </c>
      <c r="M115" s="4">
        <v>3</v>
      </c>
      <c r="N115" s="4" t="s">
        <v>3</v>
      </c>
      <c r="O115" s="4">
        <v>2</v>
      </c>
      <c r="P115" s="4"/>
      <c r="Q115" s="4"/>
      <c r="R115" s="4"/>
      <c r="S115" s="4"/>
      <c r="T115" s="4"/>
      <c r="U115" s="4"/>
      <c r="V115" s="4"/>
      <c r="W115" s="4">
        <v>0</v>
      </c>
      <c r="X115" s="4">
        <v>1</v>
      </c>
      <c r="Y115" s="4">
        <v>0</v>
      </c>
      <c r="Z115" s="4"/>
      <c r="AA115" s="4"/>
      <c r="AB115" s="4"/>
    </row>
    <row r="116" spans="1:28" x14ac:dyDescent="0.2">
      <c r="A116" s="4">
        <v>50</v>
      </c>
      <c r="B116" s="4">
        <v>0</v>
      </c>
      <c r="C116" s="4">
        <v>0</v>
      </c>
      <c r="D116" s="4">
        <v>1</v>
      </c>
      <c r="E116" s="4">
        <v>228</v>
      </c>
      <c r="F116" s="4">
        <f>ROUND(Source!AY108,O116)</f>
        <v>0</v>
      </c>
      <c r="G116" s="4" t="s">
        <v>41</v>
      </c>
      <c r="H116" s="4" t="s">
        <v>42</v>
      </c>
      <c r="I116" s="4"/>
      <c r="J116" s="4"/>
      <c r="K116" s="4">
        <v>228</v>
      </c>
      <c r="L116" s="4">
        <v>7</v>
      </c>
      <c r="M116" s="4">
        <v>3</v>
      </c>
      <c r="N116" s="4" t="s">
        <v>3</v>
      </c>
      <c r="O116" s="4">
        <v>2</v>
      </c>
      <c r="P116" s="4"/>
      <c r="Q116" s="4"/>
      <c r="R116" s="4"/>
      <c r="S116" s="4"/>
      <c r="T116" s="4"/>
      <c r="U116" s="4"/>
      <c r="V116" s="4"/>
      <c r="W116" s="4">
        <v>0</v>
      </c>
      <c r="X116" s="4">
        <v>1</v>
      </c>
      <c r="Y116" s="4">
        <v>0</v>
      </c>
      <c r="Z116" s="4"/>
      <c r="AA116" s="4"/>
      <c r="AB116" s="4"/>
    </row>
    <row r="117" spans="1:28" x14ac:dyDescent="0.2">
      <c r="A117" s="4">
        <v>50</v>
      </c>
      <c r="B117" s="4">
        <v>0</v>
      </c>
      <c r="C117" s="4">
        <v>0</v>
      </c>
      <c r="D117" s="4">
        <v>1</v>
      </c>
      <c r="E117" s="4">
        <v>216</v>
      </c>
      <c r="F117" s="4">
        <f>ROUND(Source!AP108,O117)</f>
        <v>0</v>
      </c>
      <c r="G117" s="4" t="s">
        <v>43</v>
      </c>
      <c r="H117" s="4" t="s">
        <v>44</v>
      </c>
      <c r="I117" s="4"/>
      <c r="J117" s="4"/>
      <c r="K117" s="4">
        <v>216</v>
      </c>
      <c r="L117" s="4">
        <v>8</v>
      </c>
      <c r="M117" s="4">
        <v>3</v>
      </c>
      <c r="N117" s="4" t="s">
        <v>3</v>
      </c>
      <c r="O117" s="4">
        <v>2</v>
      </c>
      <c r="P117" s="4"/>
      <c r="Q117" s="4"/>
      <c r="R117" s="4"/>
      <c r="S117" s="4"/>
      <c r="T117" s="4"/>
      <c r="U117" s="4"/>
      <c r="V117" s="4"/>
      <c r="W117" s="4">
        <v>0</v>
      </c>
      <c r="X117" s="4">
        <v>1</v>
      </c>
      <c r="Y117" s="4">
        <v>0</v>
      </c>
      <c r="Z117" s="4"/>
      <c r="AA117" s="4"/>
      <c r="AB117" s="4"/>
    </row>
    <row r="118" spans="1:28" x14ac:dyDescent="0.2">
      <c r="A118" s="4">
        <v>50</v>
      </c>
      <c r="B118" s="4">
        <v>0</v>
      </c>
      <c r="C118" s="4">
        <v>0</v>
      </c>
      <c r="D118" s="4">
        <v>1</v>
      </c>
      <c r="E118" s="4">
        <v>223</v>
      </c>
      <c r="F118" s="4">
        <f>ROUND(Source!AQ108,O118)</f>
        <v>0</v>
      </c>
      <c r="G118" s="4" t="s">
        <v>45</v>
      </c>
      <c r="H118" s="4" t="s">
        <v>46</v>
      </c>
      <c r="I118" s="4"/>
      <c r="J118" s="4"/>
      <c r="K118" s="4">
        <v>223</v>
      </c>
      <c r="L118" s="4">
        <v>9</v>
      </c>
      <c r="M118" s="4">
        <v>3</v>
      </c>
      <c r="N118" s="4" t="s">
        <v>3</v>
      </c>
      <c r="O118" s="4">
        <v>2</v>
      </c>
      <c r="P118" s="4"/>
      <c r="Q118" s="4"/>
      <c r="R118" s="4"/>
      <c r="S118" s="4"/>
      <c r="T118" s="4"/>
      <c r="U118" s="4"/>
      <c r="V118" s="4"/>
      <c r="W118" s="4">
        <v>0</v>
      </c>
      <c r="X118" s="4">
        <v>1</v>
      </c>
      <c r="Y118" s="4">
        <v>0</v>
      </c>
      <c r="Z118" s="4"/>
      <c r="AA118" s="4"/>
      <c r="AB118" s="4"/>
    </row>
    <row r="119" spans="1:28" x14ac:dyDescent="0.2">
      <c r="A119" s="4">
        <v>50</v>
      </c>
      <c r="B119" s="4">
        <v>0</v>
      </c>
      <c r="C119" s="4">
        <v>0</v>
      </c>
      <c r="D119" s="4">
        <v>1</v>
      </c>
      <c r="E119" s="4">
        <v>229</v>
      </c>
      <c r="F119" s="4">
        <f>ROUND(Source!AZ108,O119)</f>
        <v>0</v>
      </c>
      <c r="G119" s="4" t="s">
        <v>47</v>
      </c>
      <c r="H119" s="4" t="s">
        <v>48</v>
      </c>
      <c r="I119" s="4"/>
      <c r="J119" s="4"/>
      <c r="K119" s="4">
        <v>229</v>
      </c>
      <c r="L119" s="4">
        <v>10</v>
      </c>
      <c r="M119" s="4">
        <v>3</v>
      </c>
      <c r="N119" s="4" t="s">
        <v>3</v>
      </c>
      <c r="O119" s="4">
        <v>2</v>
      </c>
      <c r="P119" s="4"/>
      <c r="Q119" s="4"/>
      <c r="R119" s="4"/>
      <c r="S119" s="4"/>
      <c r="T119" s="4"/>
      <c r="U119" s="4"/>
      <c r="V119" s="4"/>
      <c r="W119" s="4">
        <v>0</v>
      </c>
      <c r="X119" s="4">
        <v>1</v>
      </c>
      <c r="Y119" s="4">
        <v>0</v>
      </c>
      <c r="Z119" s="4"/>
      <c r="AA119" s="4"/>
      <c r="AB119" s="4"/>
    </row>
    <row r="120" spans="1:28" x14ac:dyDescent="0.2">
      <c r="A120" s="4">
        <v>50</v>
      </c>
      <c r="B120" s="4">
        <v>0</v>
      </c>
      <c r="C120" s="4">
        <v>0</v>
      </c>
      <c r="D120" s="4">
        <v>1</v>
      </c>
      <c r="E120" s="4">
        <v>203</v>
      </c>
      <c r="F120" s="4">
        <f>ROUND(Source!Q108,O120)</f>
        <v>0</v>
      </c>
      <c r="G120" s="4" t="s">
        <v>49</v>
      </c>
      <c r="H120" s="4" t="s">
        <v>50</v>
      </c>
      <c r="I120" s="4"/>
      <c r="J120" s="4"/>
      <c r="K120" s="4">
        <v>203</v>
      </c>
      <c r="L120" s="4">
        <v>11</v>
      </c>
      <c r="M120" s="4">
        <v>3</v>
      </c>
      <c r="N120" s="4" t="s">
        <v>3</v>
      </c>
      <c r="O120" s="4">
        <v>2</v>
      </c>
      <c r="P120" s="4"/>
      <c r="Q120" s="4"/>
      <c r="R120" s="4"/>
      <c r="S120" s="4"/>
      <c r="T120" s="4"/>
      <c r="U120" s="4"/>
      <c r="V120" s="4"/>
      <c r="W120" s="4">
        <v>0</v>
      </c>
      <c r="X120" s="4">
        <v>1</v>
      </c>
      <c r="Y120" s="4">
        <v>0</v>
      </c>
      <c r="Z120" s="4"/>
      <c r="AA120" s="4"/>
      <c r="AB120" s="4"/>
    </row>
    <row r="121" spans="1:28" x14ac:dyDescent="0.2">
      <c r="A121" s="4">
        <v>50</v>
      </c>
      <c r="B121" s="4">
        <v>0</v>
      </c>
      <c r="C121" s="4">
        <v>0</v>
      </c>
      <c r="D121" s="4">
        <v>1</v>
      </c>
      <c r="E121" s="4">
        <v>231</v>
      </c>
      <c r="F121" s="4">
        <f>ROUND(Source!BB108,O121)</f>
        <v>0</v>
      </c>
      <c r="G121" s="4" t="s">
        <v>51</v>
      </c>
      <c r="H121" s="4" t="s">
        <v>52</v>
      </c>
      <c r="I121" s="4"/>
      <c r="J121" s="4"/>
      <c r="K121" s="4">
        <v>231</v>
      </c>
      <c r="L121" s="4">
        <v>12</v>
      </c>
      <c r="M121" s="4">
        <v>3</v>
      </c>
      <c r="N121" s="4" t="s">
        <v>3</v>
      </c>
      <c r="O121" s="4">
        <v>2</v>
      </c>
      <c r="P121" s="4"/>
      <c r="Q121" s="4"/>
      <c r="R121" s="4"/>
      <c r="S121" s="4"/>
      <c r="T121" s="4"/>
      <c r="U121" s="4"/>
      <c r="V121" s="4"/>
      <c r="W121" s="4">
        <v>0</v>
      </c>
      <c r="X121" s="4">
        <v>1</v>
      </c>
      <c r="Y121" s="4">
        <v>0</v>
      </c>
      <c r="Z121" s="4"/>
      <c r="AA121" s="4"/>
      <c r="AB121" s="4"/>
    </row>
    <row r="122" spans="1:28" x14ac:dyDescent="0.2">
      <c r="A122" s="4">
        <v>50</v>
      </c>
      <c r="B122" s="4">
        <v>0</v>
      </c>
      <c r="C122" s="4">
        <v>0</v>
      </c>
      <c r="D122" s="4">
        <v>1</v>
      </c>
      <c r="E122" s="4">
        <v>204</v>
      </c>
      <c r="F122" s="4">
        <f>ROUND(Source!R108,O122)</f>
        <v>0</v>
      </c>
      <c r="G122" s="4" t="s">
        <v>53</v>
      </c>
      <c r="H122" s="4" t="s">
        <v>54</v>
      </c>
      <c r="I122" s="4"/>
      <c r="J122" s="4"/>
      <c r="K122" s="4">
        <v>204</v>
      </c>
      <c r="L122" s="4">
        <v>13</v>
      </c>
      <c r="M122" s="4">
        <v>3</v>
      </c>
      <c r="N122" s="4" t="s">
        <v>3</v>
      </c>
      <c r="O122" s="4">
        <v>2</v>
      </c>
      <c r="P122" s="4"/>
      <c r="Q122" s="4"/>
      <c r="R122" s="4"/>
      <c r="S122" s="4"/>
      <c r="T122" s="4"/>
      <c r="U122" s="4"/>
      <c r="V122" s="4"/>
      <c r="W122" s="4">
        <v>0</v>
      </c>
      <c r="X122" s="4">
        <v>1</v>
      </c>
      <c r="Y122" s="4">
        <v>0</v>
      </c>
      <c r="Z122" s="4"/>
      <c r="AA122" s="4"/>
      <c r="AB122" s="4"/>
    </row>
    <row r="123" spans="1:28" x14ac:dyDescent="0.2">
      <c r="A123" s="4">
        <v>50</v>
      </c>
      <c r="B123" s="4">
        <v>0</v>
      </c>
      <c r="C123" s="4">
        <v>0</v>
      </c>
      <c r="D123" s="4">
        <v>1</v>
      </c>
      <c r="E123" s="4">
        <v>205</v>
      </c>
      <c r="F123" s="4">
        <f>ROUND(Source!S108,O123)</f>
        <v>25575.41</v>
      </c>
      <c r="G123" s="4" t="s">
        <v>55</v>
      </c>
      <c r="H123" s="4" t="s">
        <v>56</v>
      </c>
      <c r="I123" s="4"/>
      <c r="J123" s="4"/>
      <c r="K123" s="4">
        <v>205</v>
      </c>
      <c r="L123" s="4">
        <v>14</v>
      </c>
      <c r="M123" s="4">
        <v>3</v>
      </c>
      <c r="N123" s="4" t="s">
        <v>3</v>
      </c>
      <c r="O123" s="4">
        <v>2</v>
      </c>
      <c r="P123" s="4"/>
      <c r="Q123" s="4"/>
      <c r="R123" s="4"/>
      <c r="S123" s="4"/>
      <c r="T123" s="4"/>
      <c r="U123" s="4"/>
      <c r="V123" s="4"/>
      <c r="W123" s="4">
        <v>25575.410000000003</v>
      </c>
      <c r="X123" s="4">
        <v>1</v>
      </c>
      <c r="Y123" s="4">
        <v>25575.410000000003</v>
      </c>
      <c r="Z123" s="4"/>
      <c r="AA123" s="4"/>
      <c r="AB123" s="4"/>
    </row>
    <row r="124" spans="1:28" x14ac:dyDescent="0.2">
      <c r="A124" s="4">
        <v>50</v>
      </c>
      <c r="B124" s="4">
        <v>0</v>
      </c>
      <c r="C124" s="4">
        <v>0</v>
      </c>
      <c r="D124" s="4">
        <v>1</v>
      </c>
      <c r="E124" s="4">
        <v>232</v>
      </c>
      <c r="F124" s="4">
        <f>ROUND(Source!BC108,O124)</f>
        <v>0</v>
      </c>
      <c r="G124" s="4" t="s">
        <v>57</v>
      </c>
      <c r="H124" s="4" t="s">
        <v>58</v>
      </c>
      <c r="I124" s="4"/>
      <c r="J124" s="4"/>
      <c r="K124" s="4">
        <v>232</v>
      </c>
      <c r="L124" s="4">
        <v>15</v>
      </c>
      <c r="M124" s="4">
        <v>3</v>
      </c>
      <c r="N124" s="4" t="s">
        <v>3</v>
      </c>
      <c r="O124" s="4">
        <v>2</v>
      </c>
      <c r="P124" s="4"/>
      <c r="Q124" s="4"/>
      <c r="R124" s="4"/>
      <c r="S124" s="4"/>
      <c r="T124" s="4"/>
      <c r="U124" s="4"/>
      <c r="V124" s="4"/>
      <c r="W124" s="4">
        <v>0</v>
      </c>
      <c r="X124" s="4">
        <v>1</v>
      </c>
      <c r="Y124" s="4">
        <v>0</v>
      </c>
      <c r="Z124" s="4"/>
      <c r="AA124" s="4"/>
      <c r="AB124" s="4"/>
    </row>
    <row r="125" spans="1:28" x14ac:dyDescent="0.2">
      <c r="A125" s="4">
        <v>50</v>
      </c>
      <c r="B125" s="4">
        <v>0</v>
      </c>
      <c r="C125" s="4">
        <v>0</v>
      </c>
      <c r="D125" s="4">
        <v>1</v>
      </c>
      <c r="E125" s="4">
        <v>214</v>
      </c>
      <c r="F125" s="4">
        <f>ROUND(Source!AS108,O125)</f>
        <v>0</v>
      </c>
      <c r="G125" s="4" t="s">
        <v>59</v>
      </c>
      <c r="H125" s="4" t="s">
        <v>60</v>
      </c>
      <c r="I125" s="4"/>
      <c r="J125" s="4"/>
      <c r="K125" s="4">
        <v>214</v>
      </c>
      <c r="L125" s="4">
        <v>16</v>
      </c>
      <c r="M125" s="4">
        <v>3</v>
      </c>
      <c r="N125" s="4" t="s">
        <v>3</v>
      </c>
      <c r="O125" s="4">
        <v>2</v>
      </c>
      <c r="P125" s="4"/>
      <c r="Q125" s="4"/>
      <c r="R125" s="4"/>
      <c r="S125" s="4"/>
      <c r="T125" s="4"/>
      <c r="U125" s="4"/>
      <c r="V125" s="4"/>
      <c r="W125" s="4">
        <v>0</v>
      </c>
      <c r="X125" s="4">
        <v>1</v>
      </c>
      <c r="Y125" s="4">
        <v>0</v>
      </c>
      <c r="Z125" s="4"/>
      <c r="AA125" s="4"/>
      <c r="AB125" s="4"/>
    </row>
    <row r="126" spans="1:28" x14ac:dyDescent="0.2">
      <c r="A126" s="4">
        <v>50</v>
      </c>
      <c r="B126" s="4">
        <v>0</v>
      </c>
      <c r="C126" s="4">
        <v>0</v>
      </c>
      <c r="D126" s="4">
        <v>1</v>
      </c>
      <c r="E126" s="4">
        <v>215</v>
      </c>
      <c r="F126" s="4">
        <f>ROUND(Source!AT108,O126)</f>
        <v>0</v>
      </c>
      <c r="G126" s="4" t="s">
        <v>61</v>
      </c>
      <c r="H126" s="4" t="s">
        <v>62</v>
      </c>
      <c r="I126" s="4"/>
      <c r="J126" s="4"/>
      <c r="K126" s="4">
        <v>215</v>
      </c>
      <c r="L126" s="4">
        <v>17</v>
      </c>
      <c r="M126" s="4">
        <v>3</v>
      </c>
      <c r="N126" s="4" t="s">
        <v>3</v>
      </c>
      <c r="O126" s="4">
        <v>2</v>
      </c>
      <c r="P126" s="4"/>
      <c r="Q126" s="4"/>
      <c r="R126" s="4"/>
      <c r="S126" s="4"/>
      <c r="T126" s="4"/>
      <c r="U126" s="4"/>
      <c r="V126" s="4"/>
      <c r="W126" s="4">
        <v>0</v>
      </c>
      <c r="X126" s="4">
        <v>1</v>
      </c>
      <c r="Y126" s="4">
        <v>0</v>
      </c>
      <c r="Z126" s="4"/>
      <c r="AA126" s="4"/>
      <c r="AB126" s="4"/>
    </row>
    <row r="127" spans="1:28" x14ac:dyDescent="0.2">
      <c r="A127" s="4">
        <v>50</v>
      </c>
      <c r="B127" s="4">
        <v>0</v>
      </c>
      <c r="C127" s="4">
        <v>0</v>
      </c>
      <c r="D127" s="4">
        <v>1</v>
      </c>
      <c r="E127" s="4">
        <v>217</v>
      </c>
      <c r="F127" s="4">
        <f>ROUND(Source!AU108,O127)</f>
        <v>53708.36</v>
      </c>
      <c r="G127" s="4" t="s">
        <v>63</v>
      </c>
      <c r="H127" s="4" t="s">
        <v>64</v>
      </c>
      <c r="I127" s="4"/>
      <c r="J127" s="4"/>
      <c r="K127" s="4">
        <v>217</v>
      </c>
      <c r="L127" s="4">
        <v>18</v>
      </c>
      <c r="M127" s="4">
        <v>3</v>
      </c>
      <c r="N127" s="4" t="s">
        <v>3</v>
      </c>
      <c r="O127" s="4">
        <v>2</v>
      </c>
      <c r="P127" s="4"/>
      <c r="Q127" s="4"/>
      <c r="R127" s="4"/>
      <c r="S127" s="4"/>
      <c r="T127" s="4"/>
      <c r="U127" s="4"/>
      <c r="V127" s="4"/>
      <c r="W127" s="4">
        <v>53708.36</v>
      </c>
      <c r="X127" s="4">
        <v>1</v>
      </c>
      <c r="Y127" s="4">
        <v>53708.36</v>
      </c>
      <c r="Z127" s="4"/>
      <c r="AA127" s="4"/>
      <c r="AB127" s="4"/>
    </row>
    <row r="128" spans="1:28" x14ac:dyDescent="0.2">
      <c r="A128" s="4">
        <v>50</v>
      </c>
      <c r="B128" s="4">
        <v>0</v>
      </c>
      <c r="C128" s="4">
        <v>0</v>
      </c>
      <c r="D128" s="4">
        <v>1</v>
      </c>
      <c r="E128" s="4">
        <v>230</v>
      </c>
      <c r="F128" s="4">
        <f>ROUND(Source!BA108,O128)</f>
        <v>0</v>
      </c>
      <c r="G128" s="4" t="s">
        <v>65</v>
      </c>
      <c r="H128" s="4" t="s">
        <v>66</v>
      </c>
      <c r="I128" s="4"/>
      <c r="J128" s="4"/>
      <c r="K128" s="4">
        <v>230</v>
      </c>
      <c r="L128" s="4">
        <v>19</v>
      </c>
      <c r="M128" s="4">
        <v>3</v>
      </c>
      <c r="N128" s="4" t="s">
        <v>3</v>
      </c>
      <c r="O128" s="4">
        <v>2</v>
      </c>
      <c r="P128" s="4"/>
      <c r="Q128" s="4"/>
      <c r="R128" s="4"/>
      <c r="S128" s="4"/>
      <c r="T128" s="4"/>
      <c r="U128" s="4"/>
      <c r="V128" s="4"/>
      <c r="W128" s="4">
        <v>0</v>
      </c>
      <c r="X128" s="4">
        <v>1</v>
      </c>
      <c r="Y128" s="4">
        <v>0</v>
      </c>
      <c r="Z128" s="4"/>
      <c r="AA128" s="4"/>
      <c r="AB128" s="4"/>
    </row>
    <row r="129" spans="1:206" x14ac:dyDescent="0.2">
      <c r="A129" s="4">
        <v>50</v>
      </c>
      <c r="B129" s="4">
        <v>0</v>
      </c>
      <c r="C129" s="4">
        <v>0</v>
      </c>
      <c r="D129" s="4">
        <v>1</v>
      </c>
      <c r="E129" s="4">
        <v>206</v>
      </c>
      <c r="F129" s="4">
        <f>ROUND(Source!T108,O129)</f>
        <v>0</v>
      </c>
      <c r="G129" s="4" t="s">
        <v>67</v>
      </c>
      <c r="H129" s="4" t="s">
        <v>68</v>
      </c>
      <c r="I129" s="4"/>
      <c r="J129" s="4"/>
      <c r="K129" s="4">
        <v>206</v>
      </c>
      <c r="L129" s="4">
        <v>20</v>
      </c>
      <c r="M129" s="4">
        <v>3</v>
      </c>
      <c r="N129" s="4" t="s">
        <v>3</v>
      </c>
      <c r="O129" s="4">
        <v>2</v>
      </c>
      <c r="P129" s="4"/>
      <c r="Q129" s="4"/>
      <c r="R129" s="4"/>
      <c r="S129" s="4"/>
      <c r="T129" s="4"/>
      <c r="U129" s="4"/>
      <c r="V129" s="4"/>
      <c r="W129" s="4">
        <v>0</v>
      </c>
      <c r="X129" s="4">
        <v>1</v>
      </c>
      <c r="Y129" s="4">
        <v>0</v>
      </c>
      <c r="Z129" s="4"/>
      <c r="AA129" s="4"/>
      <c r="AB129" s="4"/>
    </row>
    <row r="130" spans="1:206" x14ac:dyDescent="0.2">
      <c r="A130" s="4">
        <v>50</v>
      </c>
      <c r="B130" s="4">
        <v>0</v>
      </c>
      <c r="C130" s="4">
        <v>0</v>
      </c>
      <c r="D130" s="4">
        <v>1</v>
      </c>
      <c r="E130" s="4">
        <v>207</v>
      </c>
      <c r="F130" s="4">
        <f>ROUND(Source!U108,O130)</f>
        <v>36.187600000000003</v>
      </c>
      <c r="G130" s="4" t="s">
        <v>69</v>
      </c>
      <c r="H130" s="4" t="s">
        <v>70</v>
      </c>
      <c r="I130" s="4"/>
      <c r="J130" s="4"/>
      <c r="K130" s="4">
        <v>207</v>
      </c>
      <c r="L130" s="4">
        <v>21</v>
      </c>
      <c r="M130" s="4">
        <v>3</v>
      </c>
      <c r="N130" s="4" t="s">
        <v>3</v>
      </c>
      <c r="O130" s="4">
        <v>7</v>
      </c>
      <c r="P130" s="4"/>
      <c r="Q130" s="4"/>
      <c r="R130" s="4"/>
      <c r="S130" s="4"/>
      <c r="T130" s="4"/>
      <c r="U130" s="4"/>
      <c r="V130" s="4"/>
      <c r="W130" s="4">
        <v>36.187600000000003</v>
      </c>
      <c r="X130" s="4">
        <v>1</v>
      </c>
      <c r="Y130" s="4">
        <v>36.187600000000003</v>
      </c>
      <c r="Z130" s="4"/>
      <c r="AA130" s="4"/>
      <c r="AB130" s="4"/>
    </row>
    <row r="131" spans="1:206" x14ac:dyDescent="0.2">
      <c r="A131" s="4">
        <v>50</v>
      </c>
      <c r="B131" s="4">
        <v>0</v>
      </c>
      <c r="C131" s="4">
        <v>0</v>
      </c>
      <c r="D131" s="4">
        <v>1</v>
      </c>
      <c r="E131" s="4">
        <v>208</v>
      </c>
      <c r="F131" s="4">
        <f>ROUND(Source!V108,O131)</f>
        <v>0</v>
      </c>
      <c r="G131" s="4" t="s">
        <v>71</v>
      </c>
      <c r="H131" s="4" t="s">
        <v>72</v>
      </c>
      <c r="I131" s="4"/>
      <c r="J131" s="4"/>
      <c r="K131" s="4">
        <v>208</v>
      </c>
      <c r="L131" s="4">
        <v>22</v>
      </c>
      <c r="M131" s="4">
        <v>3</v>
      </c>
      <c r="N131" s="4" t="s">
        <v>3</v>
      </c>
      <c r="O131" s="4">
        <v>7</v>
      </c>
      <c r="P131" s="4"/>
      <c r="Q131" s="4"/>
      <c r="R131" s="4"/>
      <c r="S131" s="4"/>
      <c r="T131" s="4"/>
      <c r="U131" s="4"/>
      <c r="V131" s="4"/>
      <c r="W131" s="4">
        <v>0</v>
      </c>
      <c r="X131" s="4">
        <v>1</v>
      </c>
      <c r="Y131" s="4">
        <v>0</v>
      </c>
      <c r="Z131" s="4"/>
      <c r="AA131" s="4"/>
      <c r="AB131" s="4"/>
    </row>
    <row r="132" spans="1:206" x14ac:dyDescent="0.2">
      <c r="A132" s="4">
        <v>50</v>
      </c>
      <c r="B132" s="4">
        <v>0</v>
      </c>
      <c r="C132" s="4">
        <v>0</v>
      </c>
      <c r="D132" s="4">
        <v>1</v>
      </c>
      <c r="E132" s="4">
        <v>209</v>
      </c>
      <c r="F132" s="4">
        <f>ROUND(Source!W108,O132)</f>
        <v>0</v>
      </c>
      <c r="G132" s="4" t="s">
        <v>73</v>
      </c>
      <c r="H132" s="4" t="s">
        <v>74</v>
      </c>
      <c r="I132" s="4"/>
      <c r="J132" s="4"/>
      <c r="K132" s="4">
        <v>209</v>
      </c>
      <c r="L132" s="4">
        <v>23</v>
      </c>
      <c r="M132" s="4">
        <v>3</v>
      </c>
      <c r="N132" s="4" t="s">
        <v>3</v>
      </c>
      <c r="O132" s="4">
        <v>2</v>
      </c>
      <c r="P132" s="4"/>
      <c r="Q132" s="4"/>
      <c r="R132" s="4"/>
      <c r="S132" s="4"/>
      <c r="T132" s="4"/>
      <c r="U132" s="4"/>
      <c r="V132" s="4"/>
      <c r="W132" s="4">
        <v>0</v>
      </c>
      <c r="X132" s="4">
        <v>1</v>
      </c>
      <c r="Y132" s="4">
        <v>0</v>
      </c>
      <c r="Z132" s="4"/>
      <c r="AA132" s="4"/>
      <c r="AB132" s="4"/>
    </row>
    <row r="133" spans="1:206" x14ac:dyDescent="0.2">
      <c r="A133" s="4">
        <v>50</v>
      </c>
      <c r="B133" s="4">
        <v>0</v>
      </c>
      <c r="C133" s="4">
        <v>0</v>
      </c>
      <c r="D133" s="4">
        <v>1</v>
      </c>
      <c r="E133" s="4">
        <v>233</v>
      </c>
      <c r="F133" s="4">
        <f>ROUND(Source!BD108,O133)</f>
        <v>0</v>
      </c>
      <c r="G133" s="4" t="s">
        <v>75</v>
      </c>
      <c r="H133" s="4" t="s">
        <v>76</v>
      </c>
      <c r="I133" s="4"/>
      <c r="J133" s="4"/>
      <c r="K133" s="4">
        <v>233</v>
      </c>
      <c r="L133" s="4">
        <v>24</v>
      </c>
      <c r="M133" s="4">
        <v>3</v>
      </c>
      <c r="N133" s="4" t="s">
        <v>3</v>
      </c>
      <c r="O133" s="4">
        <v>2</v>
      </c>
      <c r="P133" s="4"/>
      <c r="Q133" s="4"/>
      <c r="R133" s="4"/>
      <c r="S133" s="4"/>
      <c r="T133" s="4"/>
      <c r="U133" s="4"/>
      <c r="V133" s="4"/>
      <c r="W133" s="4">
        <v>0</v>
      </c>
      <c r="X133" s="4">
        <v>1</v>
      </c>
      <c r="Y133" s="4">
        <v>0</v>
      </c>
      <c r="Z133" s="4"/>
      <c r="AA133" s="4"/>
      <c r="AB133" s="4"/>
    </row>
    <row r="134" spans="1:206" x14ac:dyDescent="0.2">
      <c r="A134" s="4">
        <v>50</v>
      </c>
      <c r="B134" s="4">
        <v>0</v>
      </c>
      <c r="C134" s="4">
        <v>0</v>
      </c>
      <c r="D134" s="4">
        <v>1</v>
      </c>
      <c r="E134" s="4">
        <v>210</v>
      </c>
      <c r="F134" s="4">
        <f>ROUND(Source!X108,O134)</f>
        <v>18925.8</v>
      </c>
      <c r="G134" s="4" t="s">
        <v>77</v>
      </c>
      <c r="H134" s="4" t="s">
        <v>78</v>
      </c>
      <c r="I134" s="4"/>
      <c r="J134" s="4"/>
      <c r="K134" s="4">
        <v>210</v>
      </c>
      <c r="L134" s="4">
        <v>25</v>
      </c>
      <c r="M134" s="4">
        <v>3</v>
      </c>
      <c r="N134" s="4" t="s">
        <v>3</v>
      </c>
      <c r="O134" s="4">
        <v>2</v>
      </c>
      <c r="P134" s="4"/>
      <c r="Q134" s="4"/>
      <c r="R134" s="4"/>
      <c r="S134" s="4"/>
      <c r="T134" s="4"/>
      <c r="U134" s="4"/>
      <c r="V134" s="4"/>
      <c r="W134" s="4">
        <v>18925.8</v>
      </c>
      <c r="X134" s="4">
        <v>1</v>
      </c>
      <c r="Y134" s="4">
        <v>18925.8</v>
      </c>
      <c r="Z134" s="4"/>
      <c r="AA134" s="4"/>
      <c r="AB134" s="4"/>
    </row>
    <row r="135" spans="1:206" x14ac:dyDescent="0.2">
      <c r="A135" s="4">
        <v>50</v>
      </c>
      <c r="B135" s="4">
        <v>0</v>
      </c>
      <c r="C135" s="4">
        <v>0</v>
      </c>
      <c r="D135" s="4">
        <v>1</v>
      </c>
      <c r="E135" s="4">
        <v>211</v>
      </c>
      <c r="F135" s="4">
        <f>ROUND(Source!Y108,O135)</f>
        <v>9207.15</v>
      </c>
      <c r="G135" s="4" t="s">
        <v>79</v>
      </c>
      <c r="H135" s="4" t="s">
        <v>80</v>
      </c>
      <c r="I135" s="4"/>
      <c r="J135" s="4"/>
      <c r="K135" s="4">
        <v>211</v>
      </c>
      <c r="L135" s="4">
        <v>26</v>
      </c>
      <c r="M135" s="4">
        <v>3</v>
      </c>
      <c r="N135" s="4" t="s">
        <v>3</v>
      </c>
      <c r="O135" s="4">
        <v>2</v>
      </c>
      <c r="P135" s="4"/>
      <c r="Q135" s="4"/>
      <c r="R135" s="4"/>
      <c r="S135" s="4"/>
      <c r="T135" s="4"/>
      <c r="U135" s="4"/>
      <c r="V135" s="4"/>
      <c r="W135" s="4">
        <v>9207.15</v>
      </c>
      <c r="X135" s="4">
        <v>1</v>
      </c>
      <c r="Y135" s="4">
        <v>9207.15</v>
      </c>
      <c r="Z135" s="4"/>
      <c r="AA135" s="4"/>
      <c r="AB135" s="4"/>
    </row>
    <row r="136" spans="1:206" x14ac:dyDescent="0.2">
      <c r="A136" s="4">
        <v>50</v>
      </c>
      <c r="B136" s="4">
        <v>0</v>
      </c>
      <c r="C136" s="4">
        <v>0</v>
      </c>
      <c r="D136" s="4">
        <v>1</v>
      </c>
      <c r="E136" s="4">
        <v>224</v>
      </c>
      <c r="F136" s="4">
        <f>ROUND(Source!AR108,O136)</f>
        <v>53708.36</v>
      </c>
      <c r="G136" s="4" t="s">
        <v>81</v>
      </c>
      <c r="H136" s="4" t="s">
        <v>82</v>
      </c>
      <c r="I136" s="4"/>
      <c r="J136" s="4"/>
      <c r="K136" s="4">
        <v>224</v>
      </c>
      <c r="L136" s="4">
        <v>27</v>
      </c>
      <c r="M136" s="4">
        <v>3</v>
      </c>
      <c r="N136" s="4" t="s">
        <v>3</v>
      </c>
      <c r="O136" s="4">
        <v>2</v>
      </c>
      <c r="P136" s="4"/>
      <c r="Q136" s="4"/>
      <c r="R136" s="4"/>
      <c r="S136" s="4"/>
      <c r="T136" s="4"/>
      <c r="U136" s="4"/>
      <c r="V136" s="4"/>
      <c r="W136" s="4">
        <v>53708.36</v>
      </c>
      <c r="X136" s="4">
        <v>1</v>
      </c>
      <c r="Y136" s="4">
        <v>53708.36</v>
      </c>
      <c r="Z136" s="4"/>
      <c r="AA136" s="4"/>
      <c r="AB136" s="4"/>
    </row>
    <row r="138" spans="1:206" x14ac:dyDescent="0.2">
      <c r="A138" s="2">
        <v>51</v>
      </c>
      <c r="B138" s="2">
        <f>B20</f>
        <v>1</v>
      </c>
      <c r="C138" s="2">
        <f>A20</f>
        <v>3</v>
      </c>
      <c r="D138" s="2">
        <f>ROW(A20)</f>
        <v>20</v>
      </c>
      <c r="E138" s="2"/>
      <c r="F138" s="2" t="str">
        <f>IF(F20&lt;&gt;"",F20,"")</f>
        <v>Новая локальная смета</v>
      </c>
      <c r="G138" s="2" t="str">
        <f>IF(G20&lt;&gt;"",G20,"")</f>
        <v>Новая локальная смета</v>
      </c>
      <c r="H138" s="2">
        <v>0</v>
      </c>
      <c r="I138" s="2"/>
      <c r="J138" s="2"/>
      <c r="K138" s="2"/>
      <c r="L138" s="2"/>
      <c r="M138" s="2"/>
      <c r="N138" s="2"/>
      <c r="O138" s="2">
        <f t="shared" ref="O138:T138" si="43">ROUND(O30+O69+O108+AB138,2)</f>
        <v>31803.62</v>
      </c>
      <c r="P138" s="2">
        <f t="shared" si="43"/>
        <v>4523.67</v>
      </c>
      <c r="Q138" s="2">
        <f t="shared" si="43"/>
        <v>17.16</v>
      </c>
      <c r="R138" s="2">
        <f t="shared" si="43"/>
        <v>7.2</v>
      </c>
      <c r="S138" s="2">
        <f t="shared" si="43"/>
        <v>27255.59</v>
      </c>
      <c r="T138" s="2">
        <f t="shared" si="43"/>
        <v>0</v>
      </c>
      <c r="U138" s="2">
        <f>U30+U69+U108+AH138</f>
        <v>39.372160000000001</v>
      </c>
      <c r="V138" s="2">
        <f>V30+V69+V108+AI138</f>
        <v>1.14E-2</v>
      </c>
      <c r="W138" s="2">
        <f>ROUND(W30+W69+W108+AJ138,2)</f>
        <v>0</v>
      </c>
      <c r="X138" s="2">
        <f>ROUND(X30+X69+X108+AK138,2)</f>
        <v>20562.560000000001</v>
      </c>
      <c r="Y138" s="2">
        <f>ROUND(Y30+Y69+Y108+AL138,2)</f>
        <v>10067.719999999999</v>
      </c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>
        <f t="shared" ref="AO138:BD138" si="44">ROUND(AO30+AO69+AO108+BX138,2)</f>
        <v>0</v>
      </c>
      <c r="AP138" s="2">
        <f t="shared" si="44"/>
        <v>0</v>
      </c>
      <c r="AQ138" s="2">
        <f t="shared" si="44"/>
        <v>0</v>
      </c>
      <c r="AR138" s="2">
        <f t="shared" si="44"/>
        <v>62433.9</v>
      </c>
      <c r="AS138" s="2">
        <f t="shared" si="44"/>
        <v>0</v>
      </c>
      <c r="AT138" s="2">
        <f t="shared" si="44"/>
        <v>8725.5400000000009</v>
      </c>
      <c r="AU138" s="2">
        <f t="shared" si="44"/>
        <v>53708.36</v>
      </c>
      <c r="AV138" s="2">
        <f t="shared" si="44"/>
        <v>4523.67</v>
      </c>
      <c r="AW138" s="2">
        <f t="shared" si="44"/>
        <v>4523.67</v>
      </c>
      <c r="AX138" s="2">
        <f t="shared" si="44"/>
        <v>0</v>
      </c>
      <c r="AY138" s="2">
        <f t="shared" si="44"/>
        <v>4523.67</v>
      </c>
      <c r="AZ138" s="2">
        <f t="shared" si="44"/>
        <v>0</v>
      </c>
      <c r="BA138" s="2">
        <f t="shared" si="44"/>
        <v>0</v>
      </c>
      <c r="BB138" s="2">
        <f t="shared" si="44"/>
        <v>0</v>
      </c>
      <c r="BC138" s="2">
        <f t="shared" si="44"/>
        <v>0</v>
      </c>
      <c r="BD138" s="2">
        <f t="shared" si="44"/>
        <v>0</v>
      </c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>
        <v>0</v>
      </c>
    </row>
    <row r="140" spans="1:206" x14ac:dyDescent="0.2">
      <c r="A140" s="4">
        <v>50</v>
      </c>
      <c r="B140" s="4">
        <v>0</v>
      </c>
      <c r="C140" s="4">
        <v>0</v>
      </c>
      <c r="D140" s="4">
        <v>1</v>
      </c>
      <c r="E140" s="4">
        <v>201</v>
      </c>
      <c r="F140" s="4">
        <f>ROUND(Source!O138,O140)</f>
        <v>31803.62</v>
      </c>
      <c r="G140" s="4" t="s">
        <v>29</v>
      </c>
      <c r="H140" s="4" t="s">
        <v>30</v>
      </c>
      <c r="I140" s="4"/>
      <c r="J140" s="4"/>
      <c r="K140" s="4">
        <v>201</v>
      </c>
      <c r="L140" s="4">
        <v>1</v>
      </c>
      <c r="M140" s="4">
        <v>3</v>
      </c>
      <c r="N140" s="4" t="s">
        <v>3</v>
      </c>
      <c r="O140" s="4">
        <v>2</v>
      </c>
      <c r="P140" s="4"/>
      <c r="Q140" s="4"/>
      <c r="R140" s="4"/>
      <c r="S140" s="4"/>
      <c r="T140" s="4"/>
      <c r="U140" s="4"/>
      <c r="V140" s="4"/>
      <c r="W140" s="4">
        <v>31803.620000000006</v>
      </c>
      <c r="X140" s="4">
        <v>1</v>
      </c>
      <c r="Y140" s="4">
        <v>31803.620000000006</v>
      </c>
      <c r="Z140" s="4"/>
      <c r="AA140" s="4"/>
      <c r="AB140" s="4"/>
    </row>
    <row r="141" spans="1:206" x14ac:dyDescent="0.2">
      <c r="A141" s="4">
        <v>50</v>
      </c>
      <c r="B141" s="4">
        <v>0</v>
      </c>
      <c r="C141" s="4">
        <v>0</v>
      </c>
      <c r="D141" s="4">
        <v>1</v>
      </c>
      <c r="E141" s="4">
        <v>202</v>
      </c>
      <c r="F141" s="4">
        <f>ROUND(Source!P138,O141)</f>
        <v>4523.67</v>
      </c>
      <c r="G141" s="4" t="s">
        <v>31</v>
      </c>
      <c r="H141" s="4" t="s">
        <v>32</v>
      </c>
      <c r="I141" s="4"/>
      <c r="J141" s="4"/>
      <c r="K141" s="4">
        <v>202</v>
      </c>
      <c r="L141" s="4">
        <v>2</v>
      </c>
      <c r="M141" s="4">
        <v>3</v>
      </c>
      <c r="N141" s="4" t="s">
        <v>3</v>
      </c>
      <c r="O141" s="4">
        <v>2</v>
      </c>
      <c r="P141" s="4"/>
      <c r="Q141" s="4"/>
      <c r="R141" s="4"/>
      <c r="S141" s="4"/>
      <c r="T141" s="4"/>
      <c r="U141" s="4"/>
      <c r="V141" s="4"/>
      <c r="W141" s="4">
        <v>4523.67</v>
      </c>
      <c r="X141" s="4">
        <v>1</v>
      </c>
      <c r="Y141" s="4">
        <v>4523.67</v>
      </c>
      <c r="Z141" s="4"/>
      <c r="AA141" s="4"/>
      <c r="AB141" s="4"/>
    </row>
    <row r="142" spans="1:206" x14ac:dyDescent="0.2">
      <c r="A142" s="4">
        <v>50</v>
      </c>
      <c r="B142" s="4">
        <v>0</v>
      </c>
      <c r="C142" s="4">
        <v>0</v>
      </c>
      <c r="D142" s="4">
        <v>1</v>
      </c>
      <c r="E142" s="4">
        <v>222</v>
      </c>
      <c r="F142" s="4">
        <f>ROUND(Source!AO138,O142)</f>
        <v>0</v>
      </c>
      <c r="G142" s="4" t="s">
        <v>33</v>
      </c>
      <c r="H142" s="4" t="s">
        <v>34</v>
      </c>
      <c r="I142" s="4"/>
      <c r="J142" s="4"/>
      <c r="K142" s="4">
        <v>222</v>
      </c>
      <c r="L142" s="4">
        <v>3</v>
      </c>
      <c r="M142" s="4">
        <v>3</v>
      </c>
      <c r="N142" s="4" t="s">
        <v>3</v>
      </c>
      <c r="O142" s="4">
        <v>2</v>
      </c>
      <c r="P142" s="4"/>
      <c r="Q142" s="4"/>
      <c r="R142" s="4"/>
      <c r="S142" s="4"/>
      <c r="T142" s="4"/>
      <c r="U142" s="4"/>
      <c r="V142" s="4"/>
      <c r="W142" s="4">
        <v>0</v>
      </c>
      <c r="X142" s="4">
        <v>1</v>
      </c>
      <c r="Y142" s="4">
        <v>0</v>
      </c>
      <c r="Z142" s="4"/>
      <c r="AA142" s="4"/>
      <c r="AB142" s="4"/>
    </row>
    <row r="143" spans="1:206" x14ac:dyDescent="0.2">
      <c r="A143" s="4">
        <v>50</v>
      </c>
      <c r="B143" s="4">
        <v>0</v>
      </c>
      <c r="C143" s="4">
        <v>0</v>
      </c>
      <c r="D143" s="4">
        <v>1</v>
      </c>
      <c r="E143" s="4">
        <v>225</v>
      </c>
      <c r="F143" s="4">
        <f>ROUND(Source!AV138,O143)</f>
        <v>4523.67</v>
      </c>
      <c r="G143" s="4" t="s">
        <v>35</v>
      </c>
      <c r="H143" s="4" t="s">
        <v>36</v>
      </c>
      <c r="I143" s="4"/>
      <c r="J143" s="4"/>
      <c r="K143" s="4">
        <v>225</v>
      </c>
      <c r="L143" s="4">
        <v>4</v>
      </c>
      <c r="M143" s="4">
        <v>3</v>
      </c>
      <c r="N143" s="4" t="s">
        <v>3</v>
      </c>
      <c r="O143" s="4">
        <v>2</v>
      </c>
      <c r="P143" s="4"/>
      <c r="Q143" s="4"/>
      <c r="R143" s="4"/>
      <c r="S143" s="4"/>
      <c r="T143" s="4"/>
      <c r="U143" s="4"/>
      <c r="V143" s="4"/>
      <c r="W143" s="4">
        <v>4523.67</v>
      </c>
      <c r="X143" s="4">
        <v>1</v>
      </c>
      <c r="Y143" s="4">
        <v>4523.67</v>
      </c>
      <c r="Z143" s="4"/>
      <c r="AA143" s="4"/>
      <c r="AB143" s="4"/>
    </row>
    <row r="144" spans="1:206" x14ac:dyDescent="0.2">
      <c r="A144" s="4">
        <v>50</v>
      </c>
      <c r="B144" s="4">
        <v>0</v>
      </c>
      <c r="C144" s="4">
        <v>0</v>
      </c>
      <c r="D144" s="4">
        <v>1</v>
      </c>
      <c r="E144" s="4">
        <v>226</v>
      </c>
      <c r="F144" s="4">
        <f>ROUND(Source!AW138,O144)</f>
        <v>4523.67</v>
      </c>
      <c r="G144" s="4" t="s">
        <v>37</v>
      </c>
      <c r="H144" s="4" t="s">
        <v>38</v>
      </c>
      <c r="I144" s="4"/>
      <c r="J144" s="4"/>
      <c r="K144" s="4">
        <v>226</v>
      </c>
      <c r="L144" s="4">
        <v>5</v>
      </c>
      <c r="M144" s="4">
        <v>3</v>
      </c>
      <c r="N144" s="4" t="s">
        <v>3</v>
      </c>
      <c r="O144" s="4">
        <v>2</v>
      </c>
      <c r="P144" s="4"/>
      <c r="Q144" s="4"/>
      <c r="R144" s="4"/>
      <c r="S144" s="4"/>
      <c r="T144" s="4"/>
      <c r="U144" s="4"/>
      <c r="V144" s="4"/>
      <c r="W144" s="4">
        <v>4523.67</v>
      </c>
      <c r="X144" s="4">
        <v>1</v>
      </c>
      <c r="Y144" s="4">
        <v>4523.67</v>
      </c>
      <c r="Z144" s="4"/>
      <c r="AA144" s="4"/>
      <c r="AB144" s="4"/>
    </row>
    <row r="145" spans="1:28" x14ac:dyDescent="0.2">
      <c r="A145" s="4">
        <v>50</v>
      </c>
      <c r="B145" s="4">
        <v>0</v>
      </c>
      <c r="C145" s="4">
        <v>0</v>
      </c>
      <c r="D145" s="4">
        <v>1</v>
      </c>
      <c r="E145" s="4">
        <v>227</v>
      </c>
      <c r="F145" s="4">
        <f>ROUND(Source!AX138,O145)</f>
        <v>0</v>
      </c>
      <c r="G145" s="4" t="s">
        <v>39</v>
      </c>
      <c r="H145" s="4" t="s">
        <v>40</v>
      </c>
      <c r="I145" s="4"/>
      <c r="J145" s="4"/>
      <c r="K145" s="4">
        <v>227</v>
      </c>
      <c r="L145" s="4">
        <v>6</v>
      </c>
      <c r="M145" s="4">
        <v>3</v>
      </c>
      <c r="N145" s="4" t="s">
        <v>3</v>
      </c>
      <c r="O145" s="4">
        <v>2</v>
      </c>
      <c r="P145" s="4"/>
      <c r="Q145" s="4"/>
      <c r="R145" s="4"/>
      <c r="S145" s="4"/>
      <c r="T145" s="4"/>
      <c r="U145" s="4"/>
      <c r="V145" s="4"/>
      <c r="W145" s="4">
        <v>0</v>
      </c>
      <c r="X145" s="4">
        <v>1</v>
      </c>
      <c r="Y145" s="4">
        <v>0</v>
      </c>
      <c r="Z145" s="4"/>
      <c r="AA145" s="4"/>
      <c r="AB145" s="4"/>
    </row>
    <row r="146" spans="1:28" x14ac:dyDescent="0.2">
      <c r="A146" s="4">
        <v>50</v>
      </c>
      <c r="B146" s="4">
        <v>0</v>
      </c>
      <c r="C146" s="4">
        <v>0</v>
      </c>
      <c r="D146" s="4">
        <v>1</v>
      </c>
      <c r="E146" s="4">
        <v>228</v>
      </c>
      <c r="F146" s="4">
        <f>ROUND(Source!AY138,O146)</f>
        <v>4523.67</v>
      </c>
      <c r="G146" s="4" t="s">
        <v>41</v>
      </c>
      <c r="H146" s="4" t="s">
        <v>42</v>
      </c>
      <c r="I146" s="4"/>
      <c r="J146" s="4"/>
      <c r="K146" s="4">
        <v>228</v>
      </c>
      <c r="L146" s="4">
        <v>7</v>
      </c>
      <c r="M146" s="4">
        <v>3</v>
      </c>
      <c r="N146" s="4" t="s">
        <v>3</v>
      </c>
      <c r="O146" s="4">
        <v>2</v>
      </c>
      <c r="P146" s="4"/>
      <c r="Q146" s="4"/>
      <c r="R146" s="4"/>
      <c r="S146" s="4"/>
      <c r="T146" s="4"/>
      <c r="U146" s="4"/>
      <c r="V146" s="4"/>
      <c r="W146" s="4">
        <v>4523.67</v>
      </c>
      <c r="X146" s="4">
        <v>1</v>
      </c>
      <c r="Y146" s="4">
        <v>4523.67</v>
      </c>
      <c r="Z146" s="4"/>
      <c r="AA146" s="4"/>
      <c r="AB146" s="4"/>
    </row>
    <row r="147" spans="1:28" x14ac:dyDescent="0.2">
      <c r="A147" s="4">
        <v>50</v>
      </c>
      <c r="B147" s="4">
        <v>0</v>
      </c>
      <c r="C147" s="4">
        <v>0</v>
      </c>
      <c r="D147" s="4">
        <v>1</v>
      </c>
      <c r="E147" s="4">
        <v>216</v>
      </c>
      <c r="F147" s="4">
        <f>ROUND(Source!AP138,O147)</f>
        <v>0</v>
      </c>
      <c r="G147" s="4" t="s">
        <v>43</v>
      </c>
      <c r="H147" s="4" t="s">
        <v>44</v>
      </c>
      <c r="I147" s="4"/>
      <c r="J147" s="4"/>
      <c r="K147" s="4">
        <v>216</v>
      </c>
      <c r="L147" s="4">
        <v>8</v>
      </c>
      <c r="M147" s="4">
        <v>3</v>
      </c>
      <c r="N147" s="4" t="s">
        <v>3</v>
      </c>
      <c r="O147" s="4">
        <v>2</v>
      </c>
      <c r="P147" s="4"/>
      <c r="Q147" s="4"/>
      <c r="R147" s="4"/>
      <c r="S147" s="4"/>
      <c r="T147" s="4"/>
      <c r="U147" s="4"/>
      <c r="V147" s="4"/>
      <c r="W147" s="4">
        <v>0</v>
      </c>
      <c r="X147" s="4">
        <v>1</v>
      </c>
      <c r="Y147" s="4">
        <v>0</v>
      </c>
      <c r="Z147" s="4"/>
      <c r="AA147" s="4"/>
      <c r="AB147" s="4"/>
    </row>
    <row r="148" spans="1:28" x14ac:dyDescent="0.2">
      <c r="A148" s="4">
        <v>50</v>
      </c>
      <c r="B148" s="4">
        <v>0</v>
      </c>
      <c r="C148" s="4">
        <v>0</v>
      </c>
      <c r="D148" s="4">
        <v>1</v>
      </c>
      <c r="E148" s="4">
        <v>223</v>
      </c>
      <c r="F148" s="4">
        <f>ROUND(Source!AQ138,O148)</f>
        <v>0</v>
      </c>
      <c r="G148" s="4" t="s">
        <v>45</v>
      </c>
      <c r="H148" s="4" t="s">
        <v>46</v>
      </c>
      <c r="I148" s="4"/>
      <c r="J148" s="4"/>
      <c r="K148" s="4">
        <v>223</v>
      </c>
      <c r="L148" s="4">
        <v>9</v>
      </c>
      <c r="M148" s="4">
        <v>3</v>
      </c>
      <c r="N148" s="4" t="s">
        <v>3</v>
      </c>
      <c r="O148" s="4">
        <v>2</v>
      </c>
      <c r="P148" s="4"/>
      <c r="Q148" s="4"/>
      <c r="R148" s="4"/>
      <c r="S148" s="4"/>
      <c r="T148" s="4"/>
      <c r="U148" s="4"/>
      <c r="V148" s="4"/>
      <c r="W148" s="4">
        <v>0</v>
      </c>
      <c r="X148" s="4">
        <v>1</v>
      </c>
      <c r="Y148" s="4">
        <v>0</v>
      </c>
      <c r="Z148" s="4"/>
      <c r="AA148" s="4"/>
      <c r="AB148" s="4"/>
    </row>
    <row r="149" spans="1:28" x14ac:dyDescent="0.2">
      <c r="A149" s="4">
        <v>50</v>
      </c>
      <c r="B149" s="4">
        <v>0</v>
      </c>
      <c r="C149" s="4">
        <v>0</v>
      </c>
      <c r="D149" s="4">
        <v>1</v>
      </c>
      <c r="E149" s="4">
        <v>229</v>
      </c>
      <c r="F149" s="4">
        <f>ROUND(Source!AZ138,O149)</f>
        <v>0</v>
      </c>
      <c r="G149" s="4" t="s">
        <v>47</v>
      </c>
      <c r="H149" s="4" t="s">
        <v>48</v>
      </c>
      <c r="I149" s="4"/>
      <c r="J149" s="4"/>
      <c r="K149" s="4">
        <v>229</v>
      </c>
      <c r="L149" s="4">
        <v>10</v>
      </c>
      <c r="M149" s="4">
        <v>3</v>
      </c>
      <c r="N149" s="4" t="s">
        <v>3</v>
      </c>
      <c r="O149" s="4">
        <v>2</v>
      </c>
      <c r="P149" s="4"/>
      <c r="Q149" s="4"/>
      <c r="R149" s="4"/>
      <c r="S149" s="4"/>
      <c r="T149" s="4"/>
      <c r="U149" s="4"/>
      <c r="V149" s="4"/>
      <c r="W149" s="4">
        <v>0</v>
      </c>
      <c r="X149" s="4">
        <v>1</v>
      </c>
      <c r="Y149" s="4">
        <v>0</v>
      </c>
      <c r="Z149" s="4"/>
      <c r="AA149" s="4"/>
      <c r="AB149" s="4"/>
    </row>
    <row r="150" spans="1:28" x14ac:dyDescent="0.2">
      <c r="A150" s="4">
        <v>50</v>
      </c>
      <c r="B150" s="4">
        <v>0</v>
      </c>
      <c r="C150" s="4">
        <v>0</v>
      </c>
      <c r="D150" s="4">
        <v>1</v>
      </c>
      <c r="E150" s="4">
        <v>203</v>
      </c>
      <c r="F150" s="4">
        <f>ROUND(Source!Q138,O150)</f>
        <v>17.16</v>
      </c>
      <c r="G150" s="4" t="s">
        <v>49</v>
      </c>
      <c r="H150" s="4" t="s">
        <v>50</v>
      </c>
      <c r="I150" s="4"/>
      <c r="J150" s="4"/>
      <c r="K150" s="4">
        <v>203</v>
      </c>
      <c r="L150" s="4">
        <v>11</v>
      </c>
      <c r="M150" s="4">
        <v>3</v>
      </c>
      <c r="N150" s="4" t="s">
        <v>3</v>
      </c>
      <c r="O150" s="4">
        <v>2</v>
      </c>
      <c r="P150" s="4"/>
      <c r="Q150" s="4"/>
      <c r="R150" s="4"/>
      <c r="S150" s="4"/>
      <c r="T150" s="4"/>
      <c r="U150" s="4"/>
      <c r="V150" s="4"/>
      <c r="W150" s="4">
        <v>17.159999999999997</v>
      </c>
      <c r="X150" s="4">
        <v>1</v>
      </c>
      <c r="Y150" s="4">
        <v>17.159999999999997</v>
      </c>
      <c r="Z150" s="4"/>
      <c r="AA150" s="4"/>
      <c r="AB150" s="4"/>
    </row>
    <row r="151" spans="1:28" x14ac:dyDescent="0.2">
      <c r="A151" s="4">
        <v>50</v>
      </c>
      <c r="B151" s="4">
        <v>0</v>
      </c>
      <c r="C151" s="4">
        <v>0</v>
      </c>
      <c r="D151" s="4">
        <v>1</v>
      </c>
      <c r="E151" s="4">
        <v>231</v>
      </c>
      <c r="F151" s="4">
        <f>ROUND(Source!BB138,O151)</f>
        <v>0</v>
      </c>
      <c r="G151" s="4" t="s">
        <v>51</v>
      </c>
      <c r="H151" s="4" t="s">
        <v>52</v>
      </c>
      <c r="I151" s="4"/>
      <c r="J151" s="4"/>
      <c r="K151" s="4">
        <v>231</v>
      </c>
      <c r="L151" s="4">
        <v>12</v>
      </c>
      <c r="M151" s="4">
        <v>3</v>
      </c>
      <c r="N151" s="4" t="s">
        <v>3</v>
      </c>
      <c r="O151" s="4">
        <v>2</v>
      </c>
      <c r="P151" s="4"/>
      <c r="Q151" s="4"/>
      <c r="R151" s="4"/>
      <c r="S151" s="4"/>
      <c r="T151" s="4"/>
      <c r="U151" s="4"/>
      <c r="V151" s="4"/>
      <c r="W151" s="4">
        <v>0</v>
      </c>
      <c r="X151" s="4">
        <v>1</v>
      </c>
      <c r="Y151" s="4">
        <v>0</v>
      </c>
      <c r="Z151" s="4"/>
      <c r="AA151" s="4"/>
      <c r="AB151" s="4"/>
    </row>
    <row r="152" spans="1:28" x14ac:dyDescent="0.2">
      <c r="A152" s="4">
        <v>50</v>
      </c>
      <c r="B152" s="4">
        <v>0</v>
      </c>
      <c r="C152" s="4">
        <v>0</v>
      </c>
      <c r="D152" s="4">
        <v>1</v>
      </c>
      <c r="E152" s="4">
        <v>204</v>
      </c>
      <c r="F152" s="4">
        <f>ROUND(Source!R138,O152)</f>
        <v>7.2</v>
      </c>
      <c r="G152" s="4" t="s">
        <v>53</v>
      </c>
      <c r="H152" s="4" t="s">
        <v>54</v>
      </c>
      <c r="I152" s="4"/>
      <c r="J152" s="4"/>
      <c r="K152" s="4">
        <v>204</v>
      </c>
      <c r="L152" s="4">
        <v>13</v>
      </c>
      <c r="M152" s="4">
        <v>3</v>
      </c>
      <c r="N152" s="4" t="s">
        <v>3</v>
      </c>
      <c r="O152" s="4">
        <v>2</v>
      </c>
      <c r="P152" s="4"/>
      <c r="Q152" s="4"/>
      <c r="R152" s="4"/>
      <c r="S152" s="4"/>
      <c r="T152" s="4"/>
      <c r="U152" s="4"/>
      <c r="V152" s="4"/>
      <c r="W152" s="4">
        <v>7.2</v>
      </c>
      <c r="X152" s="4">
        <v>1</v>
      </c>
      <c r="Y152" s="4">
        <v>7.2</v>
      </c>
      <c r="Z152" s="4"/>
      <c r="AA152" s="4"/>
      <c r="AB152" s="4"/>
    </row>
    <row r="153" spans="1:28" x14ac:dyDescent="0.2">
      <c r="A153" s="4">
        <v>50</v>
      </c>
      <c r="B153" s="4">
        <v>0</v>
      </c>
      <c r="C153" s="4">
        <v>0</v>
      </c>
      <c r="D153" s="4">
        <v>1</v>
      </c>
      <c r="E153" s="4">
        <v>205</v>
      </c>
      <c r="F153" s="4">
        <f>ROUND(Source!S138,O153)</f>
        <v>27255.59</v>
      </c>
      <c r="G153" s="4" t="s">
        <v>55</v>
      </c>
      <c r="H153" s="4" t="s">
        <v>56</v>
      </c>
      <c r="I153" s="4"/>
      <c r="J153" s="4"/>
      <c r="K153" s="4">
        <v>205</v>
      </c>
      <c r="L153" s="4">
        <v>14</v>
      </c>
      <c r="M153" s="4">
        <v>3</v>
      </c>
      <c r="N153" s="4" t="s">
        <v>3</v>
      </c>
      <c r="O153" s="4">
        <v>2</v>
      </c>
      <c r="P153" s="4"/>
      <c r="Q153" s="4"/>
      <c r="R153" s="4"/>
      <c r="S153" s="4"/>
      <c r="T153" s="4"/>
      <c r="U153" s="4"/>
      <c r="V153" s="4"/>
      <c r="W153" s="4">
        <v>27255.590000000004</v>
      </c>
      <c r="X153" s="4">
        <v>1</v>
      </c>
      <c r="Y153" s="4">
        <v>27255.590000000004</v>
      </c>
      <c r="Z153" s="4"/>
      <c r="AA153" s="4"/>
      <c r="AB153" s="4"/>
    </row>
    <row r="154" spans="1:28" x14ac:dyDescent="0.2">
      <c r="A154" s="4">
        <v>50</v>
      </c>
      <c r="B154" s="4">
        <v>0</v>
      </c>
      <c r="C154" s="4">
        <v>0</v>
      </c>
      <c r="D154" s="4">
        <v>1</v>
      </c>
      <c r="E154" s="4">
        <v>232</v>
      </c>
      <c r="F154" s="4">
        <f>ROUND(Source!BC138,O154)</f>
        <v>0</v>
      </c>
      <c r="G154" s="4" t="s">
        <v>57</v>
      </c>
      <c r="H154" s="4" t="s">
        <v>58</v>
      </c>
      <c r="I154" s="4"/>
      <c r="J154" s="4"/>
      <c r="K154" s="4">
        <v>232</v>
      </c>
      <c r="L154" s="4">
        <v>15</v>
      </c>
      <c r="M154" s="4">
        <v>3</v>
      </c>
      <c r="N154" s="4" t="s">
        <v>3</v>
      </c>
      <c r="O154" s="4">
        <v>2</v>
      </c>
      <c r="P154" s="4"/>
      <c r="Q154" s="4"/>
      <c r="R154" s="4"/>
      <c r="S154" s="4"/>
      <c r="T154" s="4"/>
      <c r="U154" s="4"/>
      <c r="V154" s="4"/>
      <c r="W154" s="4">
        <v>0</v>
      </c>
      <c r="X154" s="4">
        <v>1</v>
      </c>
      <c r="Y154" s="4">
        <v>0</v>
      </c>
      <c r="Z154" s="4"/>
      <c r="AA154" s="4"/>
      <c r="AB154" s="4"/>
    </row>
    <row r="155" spans="1:28" x14ac:dyDescent="0.2">
      <c r="A155" s="4">
        <v>50</v>
      </c>
      <c r="B155" s="4">
        <v>0</v>
      </c>
      <c r="C155" s="4">
        <v>0</v>
      </c>
      <c r="D155" s="4">
        <v>1</v>
      </c>
      <c r="E155" s="4">
        <v>214</v>
      </c>
      <c r="F155" s="4">
        <f>ROUND(Source!AS138,O155)</f>
        <v>0</v>
      </c>
      <c r="G155" s="4" t="s">
        <v>59</v>
      </c>
      <c r="H155" s="4" t="s">
        <v>60</v>
      </c>
      <c r="I155" s="4"/>
      <c r="J155" s="4"/>
      <c r="K155" s="4">
        <v>214</v>
      </c>
      <c r="L155" s="4">
        <v>16</v>
      </c>
      <c r="M155" s="4">
        <v>3</v>
      </c>
      <c r="N155" s="4" t="s">
        <v>3</v>
      </c>
      <c r="O155" s="4">
        <v>2</v>
      </c>
      <c r="P155" s="4"/>
      <c r="Q155" s="4"/>
      <c r="R155" s="4"/>
      <c r="S155" s="4"/>
      <c r="T155" s="4"/>
      <c r="U155" s="4"/>
      <c r="V155" s="4"/>
      <c r="W155" s="4">
        <v>0</v>
      </c>
      <c r="X155" s="4">
        <v>1</v>
      </c>
      <c r="Y155" s="4">
        <v>0</v>
      </c>
      <c r="Z155" s="4"/>
      <c r="AA155" s="4"/>
      <c r="AB155" s="4"/>
    </row>
    <row r="156" spans="1:28" x14ac:dyDescent="0.2">
      <c r="A156" s="4">
        <v>50</v>
      </c>
      <c r="B156" s="4">
        <v>0</v>
      </c>
      <c r="C156" s="4">
        <v>0</v>
      </c>
      <c r="D156" s="4">
        <v>1</v>
      </c>
      <c r="E156" s="4">
        <v>215</v>
      </c>
      <c r="F156" s="4">
        <f>ROUND(Source!AT138,O156)</f>
        <v>8725.5400000000009</v>
      </c>
      <c r="G156" s="4" t="s">
        <v>61</v>
      </c>
      <c r="H156" s="4" t="s">
        <v>62</v>
      </c>
      <c r="I156" s="4"/>
      <c r="J156" s="4"/>
      <c r="K156" s="4">
        <v>215</v>
      </c>
      <c r="L156" s="4">
        <v>17</v>
      </c>
      <c r="M156" s="4">
        <v>3</v>
      </c>
      <c r="N156" s="4" t="s">
        <v>3</v>
      </c>
      <c r="O156" s="4">
        <v>2</v>
      </c>
      <c r="P156" s="4"/>
      <c r="Q156" s="4"/>
      <c r="R156" s="4"/>
      <c r="S156" s="4"/>
      <c r="T156" s="4"/>
      <c r="U156" s="4"/>
      <c r="V156" s="4"/>
      <c r="W156" s="4">
        <v>8725.5400000000009</v>
      </c>
      <c r="X156" s="4">
        <v>1</v>
      </c>
      <c r="Y156" s="4">
        <v>8725.5400000000009</v>
      </c>
      <c r="Z156" s="4"/>
      <c r="AA156" s="4"/>
      <c r="AB156" s="4"/>
    </row>
    <row r="157" spans="1:28" x14ac:dyDescent="0.2">
      <c r="A157" s="4">
        <v>50</v>
      </c>
      <c r="B157" s="4">
        <v>0</v>
      </c>
      <c r="C157" s="4">
        <v>0</v>
      </c>
      <c r="D157" s="4">
        <v>1</v>
      </c>
      <c r="E157" s="4">
        <v>217</v>
      </c>
      <c r="F157" s="4">
        <f>ROUND(Source!AU138,O157)</f>
        <v>53708.36</v>
      </c>
      <c r="G157" s="4" t="s">
        <v>63</v>
      </c>
      <c r="H157" s="4" t="s">
        <v>64</v>
      </c>
      <c r="I157" s="4"/>
      <c r="J157" s="4"/>
      <c r="K157" s="4">
        <v>217</v>
      </c>
      <c r="L157" s="4">
        <v>18</v>
      </c>
      <c r="M157" s="4">
        <v>3</v>
      </c>
      <c r="N157" s="4" t="s">
        <v>3</v>
      </c>
      <c r="O157" s="4">
        <v>2</v>
      </c>
      <c r="P157" s="4"/>
      <c r="Q157" s="4"/>
      <c r="R157" s="4"/>
      <c r="S157" s="4"/>
      <c r="T157" s="4"/>
      <c r="U157" s="4"/>
      <c r="V157" s="4"/>
      <c r="W157" s="4">
        <v>53708.36</v>
      </c>
      <c r="X157" s="4">
        <v>1</v>
      </c>
      <c r="Y157" s="4">
        <v>53708.36</v>
      </c>
      <c r="Z157" s="4"/>
      <c r="AA157" s="4"/>
      <c r="AB157" s="4"/>
    </row>
    <row r="158" spans="1:28" x14ac:dyDescent="0.2">
      <c r="A158" s="4">
        <v>50</v>
      </c>
      <c r="B158" s="4">
        <v>0</v>
      </c>
      <c r="C158" s="4">
        <v>0</v>
      </c>
      <c r="D158" s="4">
        <v>1</v>
      </c>
      <c r="E158" s="4">
        <v>230</v>
      </c>
      <c r="F158" s="4">
        <f>ROUND(Source!BA138,O158)</f>
        <v>0</v>
      </c>
      <c r="G158" s="4" t="s">
        <v>65</v>
      </c>
      <c r="H158" s="4" t="s">
        <v>66</v>
      </c>
      <c r="I158" s="4"/>
      <c r="J158" s="4"/>
      <c r="K158" s="4">
        <v>230</v>
      </c>
      <c r="L158" s="4">
        <v>19</v>
      </c>
      <c r="M158" s="4">
        <v>3</v>
      </c>
      <c r="N158" s="4" t="s">
        <v>3</v>
      </c>
      <c r="O158" s="4">
        <v>2</v>
      </c>
      <c r="P158" s="4"/>
      <c r="Q158" s="4"/>
      <c r="R158" s="4"/>
      <c r="S158" s="4"/>
      <c r="T158" s="4"/>
      <c r="U158" s="4"/>
      <c r="V158" s="4"/>
      <c r="W158" s="4">
        <v>0</v>
      </c>
      <c r="X158" s="4">
        <v>1</v>
      </c>
      <c r="Y158" s="4">
        <v>0</v>
      </c>
      <c r="Z158" s="4"/>
      <c r="AA158" s="4"/>
      <c r="AB158" s="4"/>
    </row>
    <row r="159" spans="1:28" x14ac:dyDescent="0.2">
      <c r="A159" s="4">
        <v>50</v>
      </c>
      <c r="B159" s="4">
        <v>0</v>
      </c>
      <c r="C159" s="4">
        <v>0</v>
      </c>
      <c r="D159" s="4">
        <v>1</v>
      </c>
      <c r="E159" s="4">
        <v>206</v>
      </c>
      <c r="F159" s="4">
        <f>ROUND(Source!T138,O159)</f>
        <v>0</v>
      </c>
      <c r="G159" s="4" t="s">
        <v>67</v>
      </c>
      <c r="H159" s="4" t="s">
        <v>68</v>
      </c>
      <c r="I159" s="4"/>
      <c r="J159" s="4"/>
      <c r="K159" s="4">
        <v>206</v>
      </c>
      <c r="L159" s="4">
        <v>20</v>
      </c>
      <c r="M159" s="4">
        <v>3</v>
      </c>
      <c r="N159" s="4" t="s">
        <v>3</v>
      </c>
      <c r="O159" s="4">
        <v>2</v>
      </c>
      <c r="P159" s="4"/>
      <c r="Q159" s="4"/>
      <c r="R159" s="4"/>
      <c r="S159" s="4"/>
      <c r="T159" s="4"/>
      <c r="U159" s="4"/>
      <c r="V159" s="4"/>
      <c r="W159" s="4">
        <v>0</v>
      </c>
      <c r="X159" s="4">
        <v>1</v>
      </c>
      <c r="Y159" s="4">
        <v>0</v>
      </c>
      <c r="Z159" s="4"/>
      <c r="AA159" s="4"/>
      <c r="AB159" s="4"/>
    </row>
    <row r="160" spans="1:28" x14ac:dyDescent="0.2">
      <c r="A160" s="4">
        <v>50</v>
      </c>
      <c r="B160" s="4">
        <v>0</v>
      </c>
      <c r="C160" s="4">
        <v>0</v>
      </c>
      <c r="D160" s="4">
        <v>1</v>
      </c>
      <c r="E160" s="4">
        <v>207</v>
      </c>
      <c r="F160" s="4">
        <f>ROUND(Source!U138,O160)</f>
        <v>39.372160000000001</v>
      </c>
      <c r="G160" s="4" t="s">
        <v>69</v>
      </c>
      <c r="H160" s="4" t="s">
        <v>70</v>
      </c>
      <c r="I160" s="4"/>
      <c r="J160" s="4"/>
      <c r="K160" s="4">
        <v>207</v>
      </c>
      <c r="L160" s="4">
        <v>21</v>
      </c>
      <c r="M160" s="4">
        <v>3</v>
      </c>
      <c r="N160" s="4" t="s">
        <v>3</v>
      </c>
      <c r="O160" s="4">
        <v>7</v>
      </c>
      <c r="P160" s="4"/>
      <c r="Q160" s="4"/>
      <c r="R160" s="4"/>
      <c r="S160" s="4"/>
      <c r="T160" s="4"/>
      <c r="U160" s="4"/>
      <c r="V160" s="4"/>
      <c r="W160" s="4">
        <v>39.372160000000001</v>
      </c>
      <c r="X160" s="4">
        <v>1</v>
      </c>
      <c r="Y160" s="4">
        <v>39.372160000000001</v>
      </c>
      <c r="Z160" s="4"/>
      <c r="AA160" s="4"/>
      <c r="AB160" s="4"/>
    </row>
    <row r="161" spans="1:206" x14ac:dyDescent="0.2">
      <c r="A161" s="4">
        <v>50</v>
      </c>
      <c r="B161" s="4">
        <v>0</v>
      </c>
      <c r="C161" s="4">
        <v>0</v>
      </c>
      <c r="D161" s="4">
        <v>1</v>
      </c>
      <c r="E161" s="4">
        <v>208</v>
      </c>
      <c r="F161" s="4">
        <f>ROUND(Source!V138,O161)</f>
        <v>1.14E-2</v>
      </c>
      <c r="G161" s="4" t="s">
        <v>71</v>
      </c>
      <c r="H161" s="4" t="s">
        <v>72</v>
      </c>
      <c r="I161" s="4"/>
      <c r="J161" s="4"/>
      <c r="K161" s="4">
        <v>208</v>
      </c>
      <c r="L161" s="4">
        <v>22</v>
      </c>
      <c r="M161" s="4">
        <v>3</v>
      </c>
      <c r="N161" s="4" t="s">
        <v>3</v>
      </c>
      <c r="O161" s="4">
        <v>7</v>
      </c>
      <c r="P161" s="4"/>
      <c r="Q161" s="4"/>
      <c r="R161" s="4"/>
      <c r="S161" s="4"/>
      <c r="T161" s="4"/>
      <c r="U161" s="4"/>
      <c r="V161" s="4"/>
      <c r="W161" s="4">
        <v>1.14E-2</v>
      </c>
      <c r="X161" s="4">
        <v>1</v>
      </c>
      <c r="Y161" s="4">
        <v>1.14E-2</v>
      </c>
      <c r="Z161" s="4"/>
      <c r="AA161" s="4"/>
      <c r="AB161" s="4"/>
    </row>
    <row r="162" spans="1:206" x14ac:dyDescent="0.2">
      <c r="A162" s="4">
        <v>50</v>
      </c>
      <c r="B162" s="4">
        <v>0</v>
      </c>
      <c r="C162" s="4">
        <v>0</v>
      </c>
      <c r="D162" s="4">
        <v>1</v>
      </c>
      <c r="E162" s="4">
        <v>209</v>
      </c>
      <c r="F162" s="4">
        <f>ROUND(Source!W138,O162)</f>
        <v>0</v>
      </c>
      <c r="G162" s="4" t="s">
        <v>73</v>
      </c>
      <c r="H162" s="4" t="s">
        <v>74</v>
      </c>
      <c r="I162" s="4"/>
      <c r="J162" s="4"/>
      <c r="K162" s="4">
        <v>209</v>
      </c>
      <c r="L162" s="4">
        <v>23</v>
      </c>
      <c r="M162" s="4">
        <v>3</v>
      </c>
      <c r="N162" s="4" t="s">
        <v>3</v>
      </c>
      <c r="O162" s="4">
        <v>2</v>
      </c>
      <c r="P162" s="4"/>
      <c r="Q162" s="4"/>
      <c r="R162" s="4"/>
      <c r="S162" s="4"/>
      <c r="T162" s="4"/>
      <c r="U162" s="4"/>
      <c r="V162" s="4"/>
      <c r="W162" s="4">
        <v>0</v>
      </c>
      <c r="X162" s="4">
        <v>1</v>
      </c>
      <c r="Y162" s="4">
        <v>0</v>
      </c>
      <c r="Z162" s="4"/>
      <c r="AA162" s="4"/>
      <c r="AB162" s="4"/>
    </row>
    <row r="163" spans="1:206" x14ac:dyDescent="0.2">
      <c r="A163" s="4">
        <v>50</v>
      </c>
      <c r="B163" s="4">
        <v>0</v>
      </c>
      <c r="C163" s="4">
        <v>0</v>
      </c>
      <c r="D163" s="4">
        <v>1</v>
      </c>
      <c r="E163" s="4">
        <v>233</v>
      </c>
      <c r="F163" s="4">
        <f>ROUND(Source!BD138,O163)</f>
        <v>0</v>
      </c>
      <c r="G163" s="4" t="s">
        <v>75</v>
      </c>
      <c r="H163" s="4" t="s">
        <v>76</v>
      </c>
      <c r="I163" s="4"/>
      <c r="J163" s="4"/>
      <c r="K163" s="4">
        <v>233</v>
      </c>
      <c r="L163" s="4">
        <v>24</v>
      </c>
      <c r="M163" s="4">
        <v>3</v>
      </c>
      <c r="N163" s="4" t="s">
        <v>3</v>
      </c>
      <c r="O163" s="4">
        <v>2</v>
      </c>
      <c r="P163" s="4"/>
      <c r="Q163" s="4"/>
      <c r="R163" s="4"/>
      <c r="S163" s="4"/>
      <c r="T163" s="4"/>
      <c r="U163" s="4"/>
      <c r="V163" s="4"/>
      <c r="W163" s="4">
        <v>0</v>
      </c>
      <c r="X163" s="4">
        <v>1</v>
      </c>
      <c r="Y163" s="4">
        <v>0</v>
      </c>
      <c r="Z163" s="4"/>
      <c r="AA163" s="4"/>
      <c r="AB163" s="4"/>
    </row>
    <row r="164" spans="1:206" x14ac:dyDescent="0.2">
      <c r="A164" s="4">
        <v>50</v>
      </c>
      <c r="B164" s="4">
        <v>0</v>
      </c>
      <c r="C164" s="4">
        <v>0</v>
      </c>
      <c r="D164" s="4">
        <v>1</v>
      </c>
      <c r="E164" s="4">
        <v>210</v>
      </c>
      <c r="F164" s="4">
        <f>ROUND(Source!X138,O164)</f>
        <v>20562.560000000001</v>
      </c>
      <c r="G164" s="4" t="s">
        <v>77</v>
      </c>
      <c r="H164" s="4" t="s">
        <v>78</v>
      </c>
      <c r="I164" s="4"/>
      <c r="J164" s="4"/>
      <c r="K164" s="4">
        <v>210</v>
      </c>
      <c r="L164" s="4">
        <v>25</v>
      </c>
      <c r="M164" s="4">
        <v>3</v>
      </c>
      <c r="N164" s="4" t="s">
        <v>3</v>
      </c>
      <c r="O164" s="4">
        <v>2</v>
      </c>
      <c r="P164" s="4"/>
      <c r="Q164" s="4"/>
      <c r="R164" s="4"/>
      <c r="S164" s="4"/>
      <c r="T164" s="4"/>
      <c r="U164" s="4"/>
      <c r="V164" s="4"/>
      <c r="W164" s="4">
        <v>20562.560000000001</v>
      </c>
      <c r="X164" s="4">
        <v>1</v>
      </c>
      <c r="Y164" s="4">
        <v>20562.560000000001</v>
      </c>
      <c r="Z164" s="4"/>
      <c r="AA164" s="4"/>
      <c r="AB164" s="4"/>
    </row>
    <row r="165" spans="1:206" x14ac:dyDescent="0.2">
      <c r="A165" s="4">
        <v>50</v>
      </c>
      <c r="B165" s="4">
        <v>0</v>
      </c>
      <c r="C165" s="4">
        <v>0</v>
      </c>
      <c r="D165" s="4">
        <v>1</v>
      </c>
      <c r="E165" s="4">
        <v>211</v>
      </c>
      <c r="F165" s="4">
        <f>ROUND(Source!Y138,O165)</f>
        <v>10067.719999999999</v>
      </c>
      <c r="G165" s="4" t="s">
        <v>79</v>
      </c>
      <c r="H165" s="4" t="s">
        <v>80</v>
      </c>
      <c r="I165" s="4"/>
      <c r="J165" s="4"/>
      <c r="K165" s="4">
        <v>211</v>
      </c>
      <c r="L165" s="4">
        <v>26</v>
      </c>
      <c r="M165" s="4">
        <v>3</v>
      </c>
      <c r="N165" s="4" t="s">
        <v>3</v>
      </c>
      <c r="O165" s="4">
        <v>2</v>
      </c>
      <c r="P165" s="4"/>
      <c r="Q165" s="4"/>
      <c r="R165" s="4"/>
      <c r="S165" s="4"/>
      <c r="T165" s="4"/>
      <c r="U165" s="4"/>
      <c r="V165" s="4"/>
      <c r="W165" s="4">
        <v>10067.719999999999</v>
      </c>
      <c r="X165" s="4">
        <v>1</v>
      </c>
      <c r="Y165" s="4">
        <v>10067.719999999999</v>
      </c>
      <c r="Z165" s="4"/>
      <c r="AA165" s="4"/>
      <c r="AB165" s="4"/>
    </row>
    <row r="166" spans="1:206" x14ac:dyDescent="0.2">
      <c r="A166" s="4">
        <v>50</v>
      </c>
      <c r="B166" s="4">
        <v>0</v>
      </c>
      <c r="C166" s="4">
        <v>0</v>
      </c>
      <c r="D166" s="4">
        <v>1</v>
      </c>
      <c r="E166" s="4">
        <v>224</v>
      </c>
      <c r="F166" s="4">
        <f>ROUND(Source!AR138,O166)</f>
        <v>62433.9</v>
      </c>
      <c r="G166" s="4" t="s">
        <v>81</v>
      </c>
      <c r="H166" s="4" t="s">
        <v>82</v>
      </c>
      <c r="I166" s="4"/>
      <c r="J166" s="4"/>
      <c r="K166" s="4">
        <v>224</v>
      </c>
      <c r="L166" s="4">
        <v>27</v>
      </c>
      <c r="M166" s="4">
        <v>3</v>
      </c>
      <c r="N166" s="4" t="s">
        <v>3</v>
      </c>
      <c r="O166" s="4">
        <v>2</v>
      </c>
      <c r="P166" s="4"/>
      <c r="Q166" s="4"/>
      <c r="R166" s="4"/>
      <c r="S166" s="4"/>
      <c r="T166" s="4"/>
      <c r="U166" s="4"/>
      <c r="V166" s="4"/>
      <c r="W166" s="4">
        <v>62433.9</v>
      </c>
      <c r="X166" s="4">
        <v>1</v>
      </c>
      <c r="Y166" s="4">
        <v>62433.9</v>
      </c>
      <c r="Z166" s="4"/>
      <c r="AA166" s="4"/>
      <c r="AB166" s="4"/>
    </row>
    <row r="168" spans="1:206" x14ac:dyDescent="0.2">
      <c r="A168" s="2">
        <v>51</v>
      </c>
      <c r="B168" s="2">
        <f>B12</f>
        <v>232</v>
      </c>
      <c r="C168" s="2">
        <f>A12</f>
        <v>1</v>
      </c>
      <c r="D168" s="2">
        <f>ROW(A12)</f>
        <v>12</v>
      </c>
      <c r="E168" s="2"/>
      <c r="F168" s="2" t="str">
        <f>IF(F12&lt;&gt;"",F12,"")</f>
        <v>Новый объект</v>
      </c>
      <c r="G168" s="2" t="str">
        <f>IF(G12&lt;&gt;"",G12,"")</f>
        <v>Ремонт поврежденного КЛ-10 кВ в ячейке РУ-10 кВ ТП 1515 в направлении Тп-480 по адресу:М.О.г.Домодедово,мкр.Западный,Каширское шоссе</v>
      </c>
      <c r="H168" s="2">
        <v>0</v>
      </c>
      <c r="I168" s="2"/>
      <c r="J168" s="2"/>
      <c r="K168" s="2"/>
      <c r="L168" s="2"/>
      <c r="M168" s="2"/>
      <c r="N168" s="2"/>
      <c r="O168" s="2">
        <f t="shared" ref="O168:T168" si="45">ROUND(O138,2)</f>
        <v>31803.62</v>
      </c>
      <c r="P168" s="2">
        <f t="shared" si="45"/>
        <v>4523.67</v>
      </c>
      <c r="Q168" s="2">
        <f t="shared" si="45"/>
        <v>17.16</v>
      </c>
      <c r="R168" s="2">
        <f t="shared" si="45"/>
        <v>7.2</v>
      </c>
      <c r="S168" s="2">
        <f t="shared" si="45"/>
        <v>27255.59</v>
      </c>
      <c r="T168" s="2">
        <f t="shared" si="45"/>
        <v>0</v>
      </c>
      <c r="U168" s="2">
        <f>U138</f>
        <v>39.372160000000001</v>
      </c>
      <c r="V168" s="2">
        <f>V138</f>
        <v>1.14E-2</v>
      </c>
      <c r="W168" s="2">
        <f>ROUND(W138,2)</f>
        <v>0</v>
      </c>
      <c r="X168" s="2">
        <f>ROUND(X138,2)</f>
        <v>20562.560000000001</v>
      </c>
      <c r="Y168" s="2">
        <f>ROUND(Y138,2)</f>
        <v>10067.719999999999</v>
      </c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>
        <f t="shared" ref="AO168:BD168" si="46">ROUND(AO138,2)</f>
        <v>0</v>
      </c>
      <c r="AP168" s="2">
        <f t="shared" si="46"/>
        <v>0</v>
      </c>
      <c r="AQ168" s="2">
        <f t="shared" si="46"/>
        <v>0</v>
      </c>
      <c r="AR168" s="2">
        <f t="shared" si="46"/>
        <v>62433.9</v>
      </c>
      <c r="AS168" s="2">
        <f t="shared" si="46"/>
        <v>0</v>
      </c>
      <c r="AT168" s="2">
        <f t="shared" si="46"/>
        <v>8725.5400000000009</v>
      </c>
      <c r="AU168" s="2">
        <f t="shared" si="46"/>
        <v>53708.36</v>
      </c>
      <c r="AV168" s="2">
        <f t="shared" si="46"/>
        <v>4523.67</v>
      </c>
      <c r="AW168" s="2">
        <f t="shared" si="46"/>
        <v>4523.67</v>
      </c>
      <c r="AX168" s="2">
        <f t="shared" si="46"/>
        <v>0</v>
      </c>
      <c r="AY168" s="2">
        <f t="shared" si="46"/>
        <v>4523.67</v>
      </c>
      <c r="AZ168" s="2">
        <f t="shared" si="46"/>
        <v>0</v>
      </c>
      <c r="BA168" s="2">
        <f t="shared" si="46"/>
        <v>0</v>
      </c>
      <c r="BB168" s="2">
        <f t="shared" si="46"/>
        <v>0</v>
      </c>
      <c r="BC168" s="2">
        <f t="shared" si="46"/>
        <v>0</v>
      </c>
      <c r="BD168" s="2">
        <f t="shared" si="46"/>
        <v>0</v>
      </c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>
        <v>0</v>
      </c>
    </row>
    <row r="170" spans="1:206" x14ac:dyDescent="0.2">
      <c r="A170" s="4">
        <v>50</v>
      </c>
      <c r="B170" s="4">
        <v>0</v>
      </c>
      <c r="C170" s="4">
        <v>0</v>
      </c>
      <c r="D170" s="4">
        <v>1</v>
      </c>
      <c r="E170" s="4">
        <v>201</v>
      </c>
      <c r="F170" s="4">
        <f>ROUND(Source!O168,O170)</f>
        <v>31803.62</v>
      </c>
      <c r="G170" s="4" t="s">
        <v>29</v>
      </c>
      <c r="H170" s="4" t="s">
        <v>30</v>
      </c>
      <c r="I170" s="4"/>
      <c r="J170" s="4"/>
      <c r="K170" s="4">
        <v>201</v>
      </c>
      <c r="L170" s="4">
        <v>1</v>
      </c>
      <c r="M170" s="4">
        <v>3</v>
      </c>
      <c r="N170" s="4" t="s">
        <v>3</v>
      </c>
      <c r="O170" s="4">
        <v>2</v>
      </c>
      <c r="P170" s="4"/>
      <c r="Q170" s="4"/>
      <c r="R170" s="4"/>
      <c r="S170" s="4"/>
      <c r="T170" s="4"/>
      <c r="U170" s="4"/>
      <c r="V170" s="4"/>
      <c r="W170" s="4">
        <v>31803.620000000006</v>
      </c>
      <c r="X170" s="4">
        <v>1</v>
      </c>
      <c r="Y170" s="4">
        <v>31803.620000000006</v>
      </c>
      <c r="Z170" s="4"/>
      <c r="AA170" s="4"/>
      <c r="AB170" s="4"/>
    </row>
    <row r="171" spans="1:206" x14ac:dyDescent="0.2">
      <c r="A171" s="4">
        <v>50</v>
      </c>
      <c r="B171" s="4">
        <v>0</v>
      </c>
      <c r="C171" s="4">
        <v>0</v>
      </c>
      <c r="D171" s="4">
        <v>1</v>
      </c>
      <c r="E171" s="4">
        <v>202</v>
      </c>
      <c r="F171" s="4">
        <f>ROUND(Source!P168,O171)</f>
        <v>4523.67</v>
      </c>
      <c r="G171" s="4" t="s">
        <v>31</v>
      </c>
      <c r="H171" s="4" t="s">
        <v>32</v>
      </c>
      <c r="I171" s="4"/>
      <c r="J171" s="4"/>
      <c r="K171" s="4">
        <v>202</v>
      </c>
      <c r="L171" s="4">
        <v>2</v>
      </c>
      <c r="M171" s="4">
        <v>3</v>
      </c>
      <c r="N171" s="4" t="s">
        <v>3</v>
      </c>
      <c r="O171" s="4">
        <v>2</v>
      </c>
      <c r="P171" s="4"/>
      <c r="Q171" s="4"/>
      <c r="R171" s="4"/>
      <c r="S171" s="4"/>
      <c r="T171" s="4"/>
      <c r="U171" s="4"/>
      <c r="V171" s="4"/>
      <c r="W171" s="4">
        <v>4523.67</v>
      </c>
      <c r="X171" s="4">
        <v>1</v>
      </c>
      <c r="Y171" s="4">
        <v>4523.67</v>
      </c>
      <c r="Z171" s="4"/>
      <c r="AA171" s="4"/>
      <c r="AB171" s="4"/>
    </row>
    <row r="172" spans="1:206" x14ac:dyDescent="0.2">
      <c r="A172" s="4">
        <v>50</v>
      </c>
      <c r="B172" s="4">
        <v>0</v>
      </c>
      <c r="C172" s="4">
        <v>0</v>
      </c>
      <c r="D172" s="4">
        <v>1</v>
      </c>
      <c r="E172" s="4">
        <v>222</v>
      </c>
      <c r="F172" s="4">
        <f>ROUND(Source!AO168,O172)</f>
        <v>0</v>
      </c>
      <c r="G172" s="4" t="s">
        <v>33</v>
      </c>
      <c r="H172" s="4" t="s">
        <v>34</v>
      </c>
      <c r="I172" s="4"/>
      <c r="J172" s="4"/>
      <c r="K172" s="4">
        <v>222</v>
      </c>
      <c r="L172" s="4">
        <v>3</v>
      </c>
      <c r="M172" s="4">
        <v>3</v>
      </c>
      <c r="N172" s="4" t="s">
        <v>3</v>
      </c>
      <c r="O172" s="4">
        <v>2</v>
      </c>
      <c r="P172" s="4"/>
      <c r="Q172" s="4"/>
      <c r="R172" s="4"/>
      <c r="S172" s="4"/>
      <c r="T172" s="4"/>
      <c r="U172" s="4"/>
      <c r="V172" s="4"/>
      <c r="W172" s="4">
        <v>0</v>
      </c>
      <c r="X172" s="4">
        <v>1</v>
      </c>
      <c r="Y172" s="4">
        <v>0</v>
      </c>
      <c r="Z172" s="4"/>
      <c r="AA172" s="4"/>
      <c r="AB172" s="4"/>
    </row>
    <row r="173" spans="1:206" x14ac:dyDescent="0.2">
      <c r="A173" s="4">
        <v>50</v>
      </c>
      <c r="B173" s="4">
        <v>0</v>
      </c>
      <c r="C173" s="4">
        <v>0</v>
      </c>
      <c r="D173" s="4">
        <v>1</v>
      </c>
      <c r="E173" s="4">
        <v>225</v>
      </c>
      <c r="F173" s="4">
        <f>ROUND(Source!AV168,O173)</f>
        <v>4523.67</v>
      </c>
      <c r="G173" s="4" t="s">
        <v>35</v>
      </c>
      <c r="H173" s="4" t="s">
        <v>36</v>
      </c>
      <c r="I173" s="4"/>
      <c r="J173" s="4"/>
      <c r="K173" s="4">
        <v>225</v>
      </c>
      <c r="L173" s="4">
        <v>4</v>
      </c>
      <c r="M173" s="4">
        <v>3</v>
      </c>
      <c r="N173" s="4" t="s">
        <v>3</v>
      </c>
      <c r="O173" s="4">
        <v>2</v>
      </c>
      <c r="P173" s="4"/>
      <c r="Q173" s="4"/>
      <c r="R173" s="4"/>
      <c r="S173" s="4"/>
      <c r="T173" s="4"/>
      <c r="U173" s="4"/>
      <c r="V173" s="4"/>
      <c r="W173" s="4">
        <v>4523.67</v>
      </c>
      <c r="X173" s="4">
        <v>1</v>
      </c>
      <c r="Y173" s="4">
        <v>4523.67</v>
      </c>
      <c r="Z173" s="4"/>
      <c r="AA173" s="4"/>
      <c r="AB173" s="4"/>
    </row>
    <row r="174" spans="1:206" x14ac:dyDescent="0.2">
      <c r="A174" s="4">
        <v>50</v>
      </c>
      <c r="B174" s="4">
        <v>0</v>
      </c>
      <c r="C174" s="4">
        <v>0</v>
      </c>
      <c r="D174" s="4">
        <v>1</v>
      </c>
      <c r="E174" s="4">
        <v>226</v>
      </c>
      <c r="F174" s="4">
        <f>ROUND(Source!AW168,O174)</f>
        <v>4523.67</v>
      </c>
      <c r="G174" s="4" t="s">
        <v>37</v>
      </c>
      <c r="H174" s="4" t="s">
        <v>38</v>
      </c>
      <c r="I174" s="4"/>
      <c r="J174" s="4"/>
      <c r="K174" s="4">
        <v>226</v>
      </c>
      <c r="L174" s="4">
        <v>5</v>
      </c>
      <c r="M174" s="4">
        <v>3</v>
      </c>
      <c r="N174" s="4" t="s">
        <v>3</v>
      </c>
      <c r="O174" s="4">
        <v>2</v>
      </c>
      <c r="P174" s="4"/>
      <c r="Q174" s="4"/>
      <c r="R174" s="4"/>
      <c r="S174" s="4"/>
      <c r="T174" s="4"/>
      <c r="U174" s="4"/>
      <c r="V174" s="4"/>
      <c r="W174" s="4">
        <v>4523.67</v>
      </c>
      <c r="X174" s="4">
        <v>1</v>
      </c>
      <c r="Y174" s="4">
        <v>4523.67</v>
      </c>
      <c r="Z174" s="4"/>
      <c r="AA174" s="4"/>
      <c r="AB174" s="4"/>
    </row>
    <row r="175" spans="1:206" x14ac:dyDescent="0.2">
      <c r="A175" s="4">
        <v>50</v>
      </c>
      <c r="B175" s="4">
        <v>0</v>
      </c>
      <c r="C175" s="4">
        <v>0</v>
      </c>
      <c r="D175" s="4">
        <v>1</v>
      </c>
      <c r="E175" s="4">
        <v>227</v>
      </c>
      <c r="F175" s="4">
        <f>ROUND(Source!AX168,O175)</f>
        <v>0</v>
      </c>
      <c r="G175" s="4" t="s">
        <v>39</v>
      </c>
      <c r="H175" s="4" t="s">
        <v>40</v>
      </c>
      <c r="I175" s="4"/>
      <c r="J175" s="4"/>
      <c r="K175" s="4">
        <v>227</v>
      </c>
      <c r="L175" s="4">
        <v>6</v>
      </c>
      <c r="M175" s="4">
        <v>3</v>
      </c>
      <c r="N175" s="4" t="s">
        <v>3</v>
      </c>
      <c r="O175" s="4">
        <v>2</v>
      </c>
      <c r="P175" s="4"/>
      <c r="Q175" s="4"/>
      <c r="R175" s="4"/>
      <c r="S175" s="4"/>
      <c r="T175" s="4"/>
      <c r="U175" s="4"/>
      <c r="V175" s="4"/>
      <c r="W175" s="4">
        <v>0</v>
      </c>
      <c r="X175" s="4">
        <v>1</v>
      </c>
      <c r="Y175" s="4">
        <v>0</v>
      </c>
      <c r="Z175" s="4"/>
      <c r="AA175" s="4"/>
      <c r="AB175" s="4"/>
    </row>
    <row r="176" spans="1:206" x14ac:dyDescent="0.2">
      <c r="A176" s="4">
        <v>50</v>
      </c>
      <c r="B176" s="4">
        <v>0</v>
      </c>
      <c r="C176" s="4">
        <v>0</v>
      </c>
      <c r="D176" s="4">
        <v>1</v>
      </c>
      <c r="E176" s="4">
        <v>228</v>
      </c>
      <c r="F176" s="4">
        <f>ROUND(Source!AY168,O176)</f>
        <v>4523.67</v>
      </c>
      <c r="G176" s="4" t="s">
        <v>41</v>
      </c>
      <c r="H176" s="4" t="s">
        <v>42</v>
      </c>
      <c r="I176" s="4"/>
      <c r="J176" s="4"/>
      <c r="K176" s="4">
        <v>228</v>
      </c>
      <c r="L176" s="4">
        <v>7</v>
      </c>
      <c r="M176" s="4">
        <v>3</v>
      </c>
      <c r="N176" s="4" t="s">
        <v>3</v>
      </c>
      <c r="O176" s="4">
        <v>2</v>
      </c>
      <c r="P176" s="4"/>
      <c r="Q176" s="4"/>
      <c r="R176" s="4"/>
      <c r="S176" s="4"/>
      <c r="T176" s="4"/>
      <c r="U176" s="4"/>
      <c r="V176" s="4"/>
      <c r="W176" s="4">
        <v>4523.67</v>
      </c>
      <c r="X176" s="4">
        <v>1</v>
      </c>
      <c r="Y176" s="4">
        <v>4523.67</v>
      </c>
      <c r="Z176" s="4"/>
      <c r="AA176" s="4"/>
      <c r="AB176" s="4"/>
    </row>
    <row r="177" spans="1:28" x14ac:dyDescent="0.2">
      <c r="A177" s="4">
        <v>50</v>
      </c>
      <c r="B177" s="4">
        <v>0</v>
      </c>
      <c r="C177" s="4">
        <v>0</v>
      </c>
      <c r="D177" s="4">
        <v>1</v>
      </c>
      <c r="E177" s="4">
        <v>216</v>
      </c>
      <c r="F177" s="4">
        <f>ROUND(Source!AP168,O177)</f>
        <v>0</v>
      </c>
      <c r="G177" s="4" t="s">
        <v>43</v>
      </c>
      <c r="H177" s="4" t="s">
        <v>44</v>
      </c>
      <c r="I177" s="4"/>
      <c r="J177" s="4"/>
      <c r="K177" s="4">
        <v>216</v>
      </c>
      <c r="L177" s="4">
        <v>8</v>
      </c>
      <c r="M177" s="4">
        <v>3</v>
      </c>
      <c r="N177" s="4" t="s">
        <v>3</v>
      </c>
      <c r="O177" s="4">
        <v>2</v>
      </c>
      <c r="P177" s="4"/>
      <c r="Q177" s="4"/>
      <c r="R177" s="4"/>
      <c r="S177" s="4"/>
      <c r="T177" s="4"/>
      <c r="U177" s="4"/>
      <c r="V177" s="4"/>
      <c r="W177" s="4">
        <v>0</v>
      </c>
      <c r="X177" s="4">
        <v>1</v>
      </c>
      <c r="Y177" s="4">
        <v>0</v>
      </c>
      <c r="Z177" s="4"/>
      <c r="AA177" s="4"/>
      <c r="AB177" s="4"/>
    </row>
    <row r="178" spans="1:28" x14ac:dyDescent="0.2">
      <c r="A178" s="4">
        <v>50</v>
      </c>
      <c r="B178" s="4">
        <v>0</v>
      </c>
      <c r="C178" s="4">
        <v>0</v>
      </c>
      <c r="D178" s="4">
        <v>1</v>
      </c>
      <c r="E178" s="4">
        <v>223</v>
      </c>
      <c r="F178" s="4">
        <f>ROUND(Source!AQ168,O178)</f>
        <v>0</v>
      </c>
      <c r="G178" s="4" t="s">
        <v>45</v>
      </c>
      <c r="H178" s="4" t="s">
        <v>46</v>
      </c>
      <c r="I178" s="4"/>
      <c r="J178" s="4"/>
      <c r="K178" s="4">
        <v>223</v>
      </c>
      <c r="L178" s="4">
        <v>9</v>
      </c>
      <c r="M178" s="4">
        <v>3</v>
      </c>
      <c r="N178" s="4" t="s">
        <v>3</v>
      </c>
      <c r="O178" s="4">
        <v>2</v>
      </c>
      <c r="P178" s="4"/>
      <c r="Q178" s="4"/>
      <c r="R178" s="4"/>
      <c r="S178" s="4"/>
      <c r="T178" s="4"/>
      <c r="U178" s="4"/>
      <c r="V178" s="4"/>
      <c r="W178" s="4">
        <v>0</v>
      </c>
      <c r="X178" s="4">
        <v>1</v>
      </c>
      <c r="Y178" s="4">
        <v>0</v>
      </c>
      <c r="Z178" s="4"/>
      <c r="AA178" s="4"/>
      <c r="AB178" s="4"/>
    </row>
    <row r="179" spans="1:28" x14ac:dyDescent="0.2">
      <c r="A179" s="4">
        <v>50</v>
      </c>
      <c r="B179" s="4">
        <v>0</v>
      </c>
      <c r="C179" s="4">
        <v>0</v>
      </c>
      <c r="D179" s="4">
        <v>1</v>
      </c>
      <c r="E179" s="4">
        <v>229</v>
      </c>
      <c r="F179" s="4">
        <f>ROUND(Source!AZ168,O179)</f>
        <v>0</v>
      </c>
      <c r="G179" s="4" t="s">
        <v>47</v>
      </c>
      <c r="H179" s="4" t="s">
        <v>48</v>
      </c>
      <c r="I179" s="4"/>
      <c r="J179" s="4"/>
      <c r="K179" s="4">
        <v>229</v>
      </c>
      <c r="L179" s="4">
        <v>10</v>
      </c>
      <c r="M179" s="4">
        <v>3</v>
      </c>
      <c r="N179" s="4" t="s">
        <v>3</v>
      </c>
      <c r="O179" s="4">
        <v>2</v>
      </c>
      <c r="P179" s="4"/>
      <c r="Q179" s="4"/>
      <c r="R179" s="4"/>
      <c r="S179" s="4"/>
      <c r="T179" s="4"/>
      <c r="U179" s="4"/>
      <c r="V179" s="4"/>
      <c r="W179" s="4">
        <v>0</v>
      </c>
      <c r="X179" s="4">
        <v>1</v>
      </c>
      <c r="Y179" s="4">
        <v>0</v>
      </c>
      <c r="Z179" s="4"/>
      <c r="AA179" s="4"/>
      <c r="AB179" s="4"/>
    </row>
    <row r="180" spans="1:28" x14ac:dyDescent="0.2">
      <c r="A180" s="4">
        <v>50</v>
      </c>
      <c r="B180" s="4">
        <v>0</v>
      </c>
      <c r="C180" s="4">
        <v>0</v>
      </c>
      <c r="D180" s="4">
        <v>1</v>
      </c>
      <c r="E180" s="4">
        <v>203</v>
      </c>
      <c r="F180" s="4">
        <f>ROUND(Source!Q168,O180)</f>
        <v>17.16</v>
      </c>
      <c r="G180" s="4" t="s">
        <v>49</v>
      </c>
      <c r="H180" s="4" t="s">
        <v>50</v>
      </c>
      <c r="I180" s="4"/>
      <c r="J180" s="4"/>
      <c r="K180" s="4">
        <v>203</v>
      </c>
      <c r="L180" s="4">
        <v>11</v>
      </c>
      <c r="M180" s="4">
        <v>3</v>
      </c>
      <c r="N180" s="4" t="s">
        <v>3</v>
      </c>
      <c r="O180" s="4">
        <v>2</v>
      </c>
      <c r="P180" s="4"/>
      <c r="Q180" s="4"/>
      <c r="R180" s="4"/>
      <c r="S180" s="4"/>
      <c r="T180" s="4"/>
      <c r="U180" s="4"/>
      <c r="V180" s="4"/>
      <c r="W180" s="4">
        <v>17.159999999999997</v>
      </c>
      <c r="X180" s="4">
        <v>1</v>
      </c>
      <c r="Y180" s="4">
        <v>17.159999999999997</v>
      </c>
      <c r="Z180" s="4"/>
      <c r="AA180" s="4"/>
      <c r="AB180" s="4"/>
    </row>
    <row r="181" spans="1:28" x14ac:dyDescent="0.2">
      <c r="A181" s="4">
        <v>50</v>
      </c>
      <c r="B181" s="4">
        <v>0</v>
      </c>
      <c r="C181" s="4">
        <v>0</v>
      </c>
      <c r="D181" s="4">
        <v>1</v>
      </c>
      <c r="E181" s="4">
        <v>231</v>
      </c>
      <c r="F181" s="4">
        <f>ROUND(Source!BB168,O181)</f>
        <v>0</v>
      </c>
      <c r="G181" s="4" t="s">
        <v>51</v>
      </c>
      <c r="H181" s="4" t="s">
        <v>52</v>
      </c>
      <c r="I181" s="4"/>
      <c r="J181" s="4"/>
      <c r="K181" s="4">
        <v>231</v>
      </c>
      <c r="L181" s="4">
        <v>12</v>
      </c>
      <c r="M181" s="4">
        <v>3</v>
      </c>
      <c r="N181" s="4" t="s">
        <v>3</v>
      </c>
      <c r="O181" s="4">
        <v>2</v>
      </c>
      <c r="P181" s="4"/>
      <c r="Q181" s="4"/>
      <c r="R181" s="4"/>
      <c r="S181" s="4"/>
      <c r="T181" s="4"/>
      <c r="U181" s="4"/>
      <c r="V181" s="4"/>
      <c r="W181" s="4">
        <v>0</v>
      </c>
      <c r="X181" s="4">
        <v>1</v>
      </c>
      <c r="Y181" s="4">
        <v>0</v>
      </c>
      <c r="Z181" s="4"/>
      <c r="AA181" s="4"/>
      <c r="AB181" s="4"/>
    </row>
    <row r="182" spans="1:28" x14ac:dyDescent="0.2">
      <c r="A182" s="4">
        <v>50</v>
      </c>
      <c r="B182" s="4">
        <v>0</v>
      </c>
      <c r="C182" s="4">
        <v>0</v>
      </c>
      <c r="D182" s="4">
        <v>1</v>
      </c>
      <c r="E182" s="4">
        <v>204</v>
      </c>
      <c r="F182" s="4">
        <f>ROUND(Source!R168,O182)</f>
        <v>7.2</v>
      </c>
      <c r="G182" s="4" t="s">
        <v>53</v>
      </c>
      <c r="H182" s="4" t="s">
        <v>54</v>
      </c>
      <c r="I182" s="4"/>
      <c r="J182" s="4"/>
      <c r="K182" s="4">
        <v>204</v>
      </c>
      <c r="L182" s="4">
        <v>13</v>
      </c>
      <c r="M182" s="4">
        <v>3</v>
      </c>
      <c r="N182" s="4" t="s">
        <v>3</v>
      </c>
      <c r="O182" s="4">
        <v>2</v>
      </c>
      <c r="P182" s="4"/>
      <c r="Q182" s="4"/>
      <c r="R182" s="4"/>
      <c r="S182" s="4"/>
      <c r="T182" s="4"/>
      <c r="U182" s="4"/>
      <c r="V182" s="4"/>
      <c r="W182" s="4">
        <v>7.2</v>
      </c>
      <c r="X182" s="4">
        <v>1</v>
      </c>
      <c r="Y182" s="4">
        <v>7.2</v>
      </c>
      <c r="Z182" s="4"/>
      <c r="AA182" s="4"/>
      <c r="AB182" s="4"/>
    </row>
    <row r="183" spans="1:28" x14ac:dyDescent="0.2">
      <c r="A183" s="4">
        <v>50</v>
      </c>
      <c r="B183" s="4">
        <v>0</v>
      </c>
      <c r="C183" s="4">
        <v>0</v>
      </c>
      <c r="D183" s="4">
        <v>1</v>
      </c>
      <c r="E183" s="4">
        <v>205</v>
      </c>
      <c r="F183" s="4">
        <f>ROUND(Source!S168,O183)</f>
        <v>27255.59</v>
      </c>
      <c r="G183" s="4" t="s">
        <v>55</v>
      </c>
      <c r="H183" s="4" t="s">
        <v>56</v>
      </c>
      <c r="I183" s="4"/>
      <c r="J183" s="4"/>
      <c r="K183" s="4">
        <v>205</v>
      </c>
      <c r="L183" s="4">
        <v>14</v>
      </c>
      <c r="M183" s="4">
        <v>3</v>
      </c>
      <c r="N183" s="4" t="s">
        <v>3</v>
      </c>
      <c r="O183" s="4">
        <v>2</v>
      </c>
      <c r="P183" s="4"/>
      <c r="Q183" s="4"/>
      <c r="R183" s="4"/>
      <c r="S183" s="4"/>
      <c r="T183" s="4"/>
      <c r="U183" s="4"/>
      <c r="V183" s="4"/>
      <c r="W183" s="4">
        <v>27255.590000000004</v>
      </c>
      <c r="X183" s="4">
        <v>1</v>
      </c>
      <c r="Y183" s="4">
        <v>27255.590000000004</v>
      </c>
      <c r="Z183" s="4"/>
      <c r="AA183" s="4"/>
      <c r="AB183" s="4"/>
    </row>
    <row r="184" spans="1:28" x14ac:dyDescent="0.2">
      <c r="A184" s="4">
        <v>50</v>
      </c>
      <c r="B184" s="4">
        <v>0</v>
      </c>
      <c r="C184" s="4">
        <v>0</v>
      </c>
      <c r="D184" s="4">
        <v>1</v>
      </c>
      <c r="E184" s="4">
        <v>232</v>
      </c>
      <c r="F184" s="4">
        <f>ROUND(Source!BC168,O184)</f>
        <v>0</v>
      </c>
      <c r="G184" s="4" t="s">
        <v>57</v>
      </c>
      <c r="H184" s="4" t="s">
        <v>58</v>
      </c>
      <c r="I184" s="4"/>
      <c r="J184" s="4"/>
      <c r="K184" s="4">
        <v>232</v>
      </c>
      <c r="L184" s="4">
        <v>15</v>
      </c>
      <c r="M184" s="4">
        <v>3</v>
      </c>
      <c r="N184" s="4" t="s">
        <v>3</v>
      </c>
      <c r="O184" s="4">
        <v>2</v>
      </c>
      <c r="P184" s="4"/>
      <c r="Q184" s="4"/>
      <c r="R184" s="4"/>
      <c r="S184" s="4"/>
      <c r="T184" s="4"/>
      <c r="U184" s="4"/>
      <c r="V184" s="4"/>
      <c r="W184" s="4">
        <v>0</v>
      </c>
      <c r="X184" s="4">
        <v>1</v>
      </c>
      <c r="Y184" s="4">
        <v>0</v>
      </c>
      <c r="Z184" s="4"/>
      <c r="AA184" s="4"/>
      <c r="AB184" s="4"/>
    </row>
    <row r="185" spans="1:28" x14ac:dyDescent="0.2">
      <c r="A185" s="4">
        <v>50</v>
      </c>
      <c r="B185" s="4">
        <v>0</v>
      </c>
      <c r="C185" s="4">
        <v>0</v>
      </c>
      <c r="D185" s="4">
        <v>1</v>
      </c>
      <c r="E185" s="4">
        <v>214</v>
      </c>
      <c r="F185" s="4">
        <f>ROUND(Source!AS168,O185)</f>
        <v>0</v>
      </c>
      <c r="G185" s="4" t="s">
        <v>59</v>
      </c>
      <c r="H185" s="4" t="s">
        <v>60</v>
      </c>
      <c r="I185" s="4"/>
      <c r="J185" s="4"/>
      <c r="K185" s="4">
        <v>214</v>
      </c>
      <c r="L185" s="4">
        <v>16</v>
      </c>
      <c r="M185" s="4">
        <v>3</v>
      </c>
      <c r="N185" s="4" t="s">
        <v>3</v>
      </c>
      <c r="O185" s="4">
        <v>2</v>
      </c>
      <c r="P185" s="4"/>
      <c r="Q185" s="4"/>
      <c r="R185" s="4"/>
      <c r="S185" s="4"/>
      <c r="T185" s="4"/>
      <c r="U185" s="4"/>
      <c r="V185" s="4"/>
      <c r="W185" s="4">
        <v>0</v>
      </c>
      <c r="X185" s="4">
        <v>1</v>
      </c>
      <c r="Y185" s="4">
        <v>0</v>
      </c>
      <c r="Z185" s="4"/>
      <c r="AA185" s="4"/>
      <c r="AB185" s="4"/>
    </row>
    <row r="186" spans="1:28" x14ac:dyDescent="0.2">
      <c r="A186" s="4">
        <v>50</v>
      </c>
      <c r="B186" s="4">
        <v>0</v>
      </c>
      <c r="C186" s="4">
        <v>0</v>
      </c>
      <c r="D186" s="4">
        <v>1</v>
      </c>
      <c r="E186" s="4">
        <v>215</v>
      </c>
      <c r="F186" s="4">
        <f>ROUND(Source!AT168,O186)</f>
        <v>8725.5400000000009</v>
      </c>
      <c r="G186" s="4" t="s">
        <v>61</v>
      </c>
      <c r="H186" s="4" t="s">
        <v>62</v>
      </c>
      <c r="I186" s="4"/>
      <c r="J186" s="4"/>
      <c r="K186" s="4">
        <v>215</v>
      </c>
      <c r="L186" s="4">
        <v>17</v>
      </c>
      <c r="M186" s="4">
        <v>3</v>
      </c>
      <c r="N186" s="4" t="s">
        <v>3</v>
      </c>
      <c r="O186" s="4">
        <v>2</v>
      </c>
      <c r="P186" s="4"/>
      <c r="Q186" s="4"/>
      <c r="R186" s="4"/>
      <c r="S186" s="4"/>
      <c r="T186" s="4"/>
      <c r="U186" s="4"/>
      <c r="V186" s="4"/>
      <c r="W186" s="4">
        <v>8725.5400000000009</v>
      </c>
      <c r="X186" s="4">
        <v>1</v>
      </c>
      <c r="Y186" s="4">
        <v>8725.5400000000009</v>
      </c>
      <c r="Z186" s="4"/>
      <c r="AA186" s="4"/>
      <c r="AB186" s="4"/>
    </row>
    <row r="187" spans="1:28" x14ac:dyDescent="0.2">
      <c r="A187" s="4">
        <v>50</v>
      </c>
      <c r="B187" s="4">
        <v>0</v>
      </c>
      <c r="C187" s="4">
        <v>0</v>
      </c>
      <c r="D187" s="4">
        <v>1</v>
      </c>
      <c r="E187" s="4">
        <v>217</v>
      </c>
      <c r="F187" s="4">
        <f>ROUND(Source!AU168,O187)</f>
        <v>53708.36</v>
      </c>
      <c r="G187" s="4" t="s">
        <v>63</v>
      </c>
      <c r="H187" s="4" t="s">
        <v>64</v>
      </c>
      <c r="I187" s="4"/>
      <c r="J187" s="4"/>
      <c r="K187" s="4">
        <v>217</v>
      </c>
      <c r="L187" s="4">
        <v>18</v>
      </c>
      <c r="M187" s="4">
        <v>3</v>
      </c>
      <c r="N187" s="4" t="s">
        <v>3</v>
      </c>
      <c r="O187" s="4">
        <v>2</v>
      </c>
      <c r="P187" s="4"/>
      <c r="Q187" s="4"/>
      <c r="R187" s="4"/>
      <c r="S187" s="4"/>
      <c r="T187" s="4"/>
      <c r="U187" s="4"/>
      <c r="V187" s="4"/>
      <c r="W187" s="4">
        <v>53708.36</v>
      </c>
      <c r="X187" s="4">
        <v>1</v>
      </c>
      <c r="Y187" s="4">
        <v>53708.36</v>
      </c>
      <c r="Z187" s="4"/>
      <c r="AA187" s="4"/>
      <c r="AB187" s="4"/>
    </row>
    <row r="188" spans="1:28" x14ac:dyDescent="0.2">
      <c r="A188" s="4">
        <v>50</v>
      </c>
      <c r="B188" s="4">
        <v>0</v>
      </c>
      <c r="C188" s="4">
        <v>0</v>
      </c>
      <c r="D188" s="4">
        <v>1</v>
      </c>
      <c r="E188" s="4">
        <v>230</v>
      </c>
      <c r="F188" s="4">
        <f>ROUND(Source!BA168,O188)</f>
        <v>0</v>
      </c>
      <c r="G188" s="4" t="s">
        <v>65</v>
      </c>
      <c r="H188" s="4" t="s">
        <v>66</v>
      </c>
      <c r="I188" s="4"/>
      <c r="J188" s="4"/>
      <c r="K188" s="4">
        <v>230</v>
      </c>
      <c r="L188" s="4">
        <v>19</v>
      </c>
      <c r="M188" s="4">
        <v>3</v>
      </c>
      <c r="N188" s="4" t="s">
        <v>3</v>
      </c>
      <c r="O188" s="4">
        <v>2</v>
      </c>
      <c r="P188" s="4"/>
      <c r="Q188" s="4"/>
      <c r="R188" s="4"/>
      <c r="S188" s="4"/>
      <c r="T188" s="4"/>
      <c r="U188" s="4"/>
      <c r="V188" s="4"/>
      <c r="W188" s="4">
        <v>0</v>
      </c>
      <c r="X188" s="4">
        <v>1</v>
      </c>
      <c r="Y188" s="4">
        <v>0</v>
      </c>
      <c r="Z188" s="4"/>
      <c r="AA188" s="4"/>
      <c r="AB188" s="4"/>
    </row>
    <row r="189" spans="1:28" x14ac:dyDescent="0.2">
      <c r="A189" s="4">
        <v>50</v>
      </c>
      <c r="B189" s="4">
        <v>0</v>
      </c>
      <c r="C189" s="4">
        <v>0</v>
      </c>
      <c r="D189" s="4">
        <v>1</v>
      </c>
      <c r="E189" s="4">
        <v>206</v>
      </c>
      <c r="F189" s="4">
        <f>ROUND(Source!T168,O189)</f>
        <v>0</v>
      </c>
      <c r="G189" s="4" t="s">
        <v>67</v>
      </c>
      <c r="H189" s="4" t="s">
        <v>68</v>
      </c>
      <c r="I189" s="4"/>
      <c r="J189" s="4"/>
      <c r="K189" s="4">
        <v>206</v>
      </c>
      <c r="L189" s="4">
        <v>20</v>
      </c>
      <c r="M189" s="4">
        <v>3</v>
      </c>
      <c r="N189" s="4" t="s">
        <v>3</v>
      </c>
      <c r="O189" s="4">
        <v>2</v>
      </c>
      <c r="P189" s="4"/>
      <c r="Q189" s="4"/>
      <c r="R189" s="4"/>
      <c r="S189" s="4"/>
      <c r="T189" s="4"/>
      <c r="U189" s="4"/>
      <c r="V189" s="4"/>
      <c r="W189" s="4">
        <v>0</v>
      </c>
      <c r="X189" s="4">
        <v>1</v>
      </c>
      <c r="Y189" s="4">
        <v>0</v>
      </c>
      <c r="Z189" s="4"/>
      <c r="AA189" s="4"/>
      <c r="AB189" s="4"/>
    </row>
    <row r="190" spans="1:28" x14ac:dyDescent="0.2">
      <c r="A190" s="4">
        <v>50</v>
      </c>
      <c r="B190" s="4">
        <v>0</v>
      </c>
      <c r="C190" s="4">
        <v>0</v>
      </c>
      <c r="D190" s="4">
        <v>1</v>
      </c>
      <c r="E190" s="4">
        <v>207</v>
      </c>
      <c r="F190" s="4">
        <f>ROUND(Source!U168,O190)</f>
        <v>39.372160000000001</v>
      </c>
      <c r="G190" s="4" t="s">
        <v>69</v>
      </c>
      <c r="H190" s="4" t="s">
        <v>70</v>
      </c>
      <c r="I190" s="4"/>
      <c r="J190" s="4"/>
      <c r="K190" s="4">
        <v>207</v>
      </c>
      <c r="L190" s="4">
        <v>21</v>
      </c>
      <c r="M190" s="4">
        <v>3</v>
      </c>
      <c r="N190" s="4" t="s">
        <v>3</v>
      </c>
      <c r="O190" s="4">
        <v>7</v>
      </c>
      <c r="P190" s="4"/>
      <c r="Q190" s="4"/>
      <c r="R190" s="4"/>
      <c r="S190" s="4"/>
      <c r="T190" s="4"/>
      <c r="U190" s="4"/>
      <c r="V190" s="4"/>
      <c r="W190" s="4">
        <v>39.372160000000001</v>
      </c>
      <c r="X190" s="4">
        <v>1</v>
      </c>
      <c r="Y190" s="4">
        <v>39.372160000000001</v>
      </c>
      <c r="Z190" s="4"/>
      <c r="AA190" s="4"/>
      <c r="AB190" s="4"/>
    </row>
    <row r="191" spans="1:28" x14ac:dyDescent="0.2">
      <c r="A191" s="4">
        <v>50</v>
      </c>
      <c r="B191" s="4">
        <v>0</v>
      </c>
      <c r="C191" s="4">
        <v>0</v>
      </c>
      <c r="D191" s="4">
        <v>1</v>
      </c>
      <c r="E191" s="4">
        <v>208</v>
      </c>
      <c r="F191" s="4">
        <f>ROUND(Source!V168,O191)</f>
        <v>1.14E-2</v>
      </c>
      <c r="G191" s="4" t="s">
        <v>71</v>
      </c>
      <c r="H191" s="4" t="s">
        <v>72</v>
      </c>
      <c r="I191" s="4"/>
      <c r="J191" s="4"/>
      <c r="K191" s="4">
        <v>208</v>
      </c>
      <c r="L191" s="4">
        <v>22</v>
      </c>
      <c r="M191" s="4">
        <v>3</v>
      </c>
      <c r="N191" s="4" t="s">
        <v>3</v>
      </c>
      <c r="O191" s="4">
        <v>7</v>
      </c>
      <c r="P191" s="4"/>
      <c r="Q191" s="4"/>
      <c r="R191" s="4"/>
      <c r="S191" s="4"/>
      <c r="T191" s="4"/>
      <c r="U191" s="4"/>
      <c r="V191" s="4"/>
      <c r="W191" s="4">
        <v>1.14E-2</v>
      </c>
      <c r="X191" s="4">
        <v>1</v>
      </c>
      <c r="Y191" s="4">
        <v>1.14E-2</v>
      </c>
      <c r="Z191" s="4"/>
      <c r="AA191" s="4"/>
      <c r="AB191" s="4"/>
    </row>
    <row r="192" spans="1:28" x14ac:dyDescent="0.2">
      <c r="A192" s="4">
        <v>50</v>
      </c>
      <c r="B192" s="4">
        <v>0</v>
      </c>
      <c r="C192" s="4">
        <v>0</v>
      </c>
      <c r="D192" s="4">
        <v>1</v>
      </c>
      <c r="E192" s="4">
        <v>209</v>
      </c>
      <c r="F192" s="4">
        <f>ROUND(Source!W168,O192)</f>
        <v>0</v>
      </c>
      <c r="G192" s="4" t="s">
        <v>73</v>
      </c>
      <c r="H192" s="4" t="s">
        <v>74</v>
      </c>
      <c r="I192" s="4"/>
      <c r="J192" s="4"/>
      <c r="K192" s="4">
        <v>209</v>
      </c>
      <c r="L192" s="4">
        <v>23</v>
      </c>
      <c r="M192" s="4">
        <v>3</v>
      </c>
      <c r="N192" s="4" t="s">
        <v>3</v>
      </c>
      <c r="O192" s="4">
        <v>2</v>
      </c>
      <c r="P192" s="4"/>
      <c r="Q192" s="4"/>
      <c r="R192" s="4"/>
      <c r="S192" s="4"/>
      <c r="T192" s="4"/>
      <c r="U192" s="4"/>
      <c r="V192" s="4"/>
      <c r="W192" s="4">
        <v>0</v>
      </c>
      <c r="X192" s="4">
        <v>1</v>
      </c>
      <c r="Y192" s="4">
        <v>0</v>
      </c>
      <c r="Z192" s="4"/>
      <c r="AA192" s="4"/>
      <c r="AB192" s="4"/>
    </row>
    <row r="193" spans="1:28" x14ac:dyDescent="0.2">
      <c r="A193" s="4">
        <v>50</v>
      </c>
      <c r="B193" s="4">
        <v>0</v>
      </c>
      <c r="C193" s="4">
        <v>0</v>
      </c>
      <c r="D193" s="4">
        <v>1</v>
      </c>
      <c r="E193" s="4">
        <v>233</v>
      </c>
      <c r="F193" s="4">
        <f>ROUND(Source!BD168,O193)</f>
        <v>0</v>
      </c>
      <c r="G193" s="4" t="s">
        <v>75</v>
      </c>
      <c r="H193" s="4" t="s">
        <v>76</v>
      </c>
      <c r="I193" s="4"/>
      <c r="J193" s="4"/>
      <c r="K193" s="4">
        <v>233</v>
      </c>
      <c r="L193" s="4">
        <v>24</v>
      </c>
      <c r="M193" s="4">
        <v>3</v>
      </c>
      <c r="N193" s="4" t="s">
        <v>3</v>
      </c>
      <c r="O193" s="4">
        <v>2</v>
      </c>
      <c r="P193" s="4"/>
      <c r="Q193" s="4"/>
      <c r="R193" s="4"/>
      <c r="S193" s="4"/>
      <c r="T193" s="4"/>
      <c r="U193" s="4"/>
      <c r="V193" s="4"/>
      <c r="W193" s="4">
        <v>0</v>
      </c>
      <c r="X193" s="4">
        <v>1</v>
      </c>
      <c r="Y193" s="4">
        <v>0</v>
      </c>
      <c r="Z193" s="4"/>
      <c r="AA193" s="4"/>
      <c r="AB193" s="4"/>
    </row>
    <row r="194" spans="1:28" x14ac:dyDescent="0.2">
      <c r="A194" s="4">
        <v>50</v>
      </c>
      <c r="B194" s="4">
        <v>0</v>
      </c>
      <c r="C194" s="4">
        <v>0</v>
      </c>
      <c r="D194" s="4">
        <v>1</v>
      </c>
      <c r="E194" s="4">
        <v>210</v>
      </c>
      <c r="F194" s="4">
        <f>ROUND(Source!X168,O194)</f>
        <v>20562.560000000001</v>
      </c>
      <c r="G194" s="4" t="s">
        <v>77</v>
      </c>
      <c r="H194" s="4" t="s">
        <v>78</v>
      </c>
      <c r="I194" s="4"/>
      <c r="J194" s="4"/>
      <c r="K194" s="4">
        <v>210</v>
      </c>
      <c r="L194" s="4">
        <v>25</v>
      </c>
      <c r="M194" s="4">
        <v>3</v>
      </c>
      <c r="N194" s="4" t="s">
        <v>3</v>
      </c>
      <c r="O194" s="4">
        <v>2</v>
      </c>
      <c r="P194" s="4"/>
      <c r="Q194" s="4"/>
      <c r="R194" s="4"/>
      <c r="S194" s="4"/>
      <c r="T194" s="4"/>
      <c r="U194" s="4"/>
      <c r="V194" s="4"/>
      <c r="W194" s="4">
        <v>20562.560000000001</v>
      </c>
      <c r="X194" s="4">
        <v>1</v>
      </c>
      <c r="Y194" s="4">
        <v>20562.560000000001</v>
      </c>
      <c r="Z194" s="4"/>
      <c r="AA194" s="4"/>
      <c r="AB194" s="4"/>
    </row>
    <row r="195" spans="1:28" x14ac:dyDescent="0.2">
      <c r="A195" s="4">
        <v>50</v>
      </c>
      <c r="B195" s="4">
        <v>0</v>
      </c>
      <c r="C195" s="4">
        <v>0</v>
      </c>
      <c r="D195" s="4">
        <v>1</v>
      </c>
      <c r="E195" s="4">
        <v>211</v>
      </c>
      <c r="F195" s="4">
        <f>ROUND(Source!Y168,O195)</f>
        <v>10067.719999999999</v>
      </c>
      <c r="G195" s="4" t="s">
        <v>79</v>
      </c>
      <c r="H195" s="4" t="s">
        <v>80</v>
      </c>
      <c r="I195" s="4"/>
      <c r="J195" s="4"/>
      <c r="K195" s="4">
        <v>211</v>
      </c>
      <c r="L195" s="4">
        <v>26</v>
      </c>
      <c r="M195" s="4">
        <v>3</v>
      </c>
      <c r="N195" s="4" t="s">
        <v>3</v>
      </c>
      <c r="O195" s="4">
        <v>2</v>
      </c>
      <c r="P195" s="4"/>
      <c r="Q195" s="4"/>
      <c r="R195" s="4"/>
      <c r="S195" s="4"/>
      <c r="T195" s="4"/>
      <c r="U195" s="4"/>
      <c r="V195" s="4"/>
      <c r="W195" s="4">
        <v>10067.719999999999</v>
      </c>
      <c r="X195" s="4">
        <v>1</v>
      </c>
      <c r="Y195" s="4">
        <v>10067.719999999999</v>
      </c>
      <c r="Z195" s="4"/>
      <c r="AA195" s="4"/>
      <c r="AB195" s="4"/>
    </row>
    <row r="196" spans="1:28" x14ac:dyDescent="0.2">
      <c r="A196" s="4">
        <v>50</v>
      </c>
      <c r="B196" s="4">
        <v>0</v>
      </c>
      <c r="C196" s="4">
        <v>0</v>
      </c>
      <c r="D196" s="4">
        <v>1</v>
      </c>
      <c r="E196" s="4">
        <v>224</v>
      </c>
      <c r="F196" s="4">
        <f>ROUND(Source!AR168,O196)</f>
        <v>62433.9</v>
      </c>
      <c r="G196" s="4" t="s">
        <v>81</v>
      </c>
      <c r="H196" s="4" t="s">
        <v>82</v>
      </c>
      <c r="I196" s="4"/>
      <c r="J196" s="4"/>
      <c r="K196" s="4">
        <v>224</v>
      </c>
      <c r="L196" s="4">
        <v>27</v>
      </c>
      <c r="M196" s="4">
        <v>3</v>
      </c>
      <c r="N196" s="4" t="s">
        <v>3</v>
      </c>
      <c r="O196" s="4">
        <v>2</v>
      </c>
      <c r="P196" s="4"/>
      <c r="Q196" s="4"/>
      <c r="R196" s="4"/>
      <c r="S196" s="4"/>
      <c r="T196" s="4"/>
      <c r="U196" s="4"/>
      <c r="V196" s="4"/>
      <c r="W196" s="4">
        <v>62433.9</v>
      </c>
      <c r="X196" s="4">
        <v>1</v>
      </c>
      <c r="Y196" s="4">
        <v>62433.9</v>
      </c>
      <c r="Z196" s="4"/>
      <c r="AA196" s="4"/>
      <c r="AB196" s="4"/>
    </row>
    <row r="197" spans="1:28" x14ac:dyDescent="0.2">
      <c r="A197" s="4">
        <v>50</v>
      </c>
      <c r="B197" s="4">
        <v>1</v>
      </c>
      <c r="C197" s="4">
        <v>0</v>
      </c>
      <c r="D197" s="4">
        <v>2</v>
      </c>
      <c r="E197" s="4">
        <v>0</v>
      </c>
      <c r="F197" s="4">
        <f>ROUND(F196*0.22,O197)</f>
        <v>13735.46</v>
      </c>
      <c r="G197" s="4" t="s">
        <v>17</v>
      </c>
      <c r="H197" s="4" t="s">
        <v>127</v>
      </c>
      <c r="I197" s="4"/>
      <c r="J197" s="4"/>
      <c r="K197" s="4">
        <v>212</v>
      </c>
      <c r="L197" s="4">
        <v>28</v>
      </c>
      <c r="M197" s="4">
        <v>0</v>
      </c>
      <c r="N197" s="4" t="s">
        <v>3</v>
      </c>
      <c r="O197" s="4">
        <v>2</v>
      </c>
      <c r="P197" s="4"/>
      <c r="Q197" s="4"/>
      <c r="R197" s="4"/>
      <c r="S197" s="4"/>
      <c r="T197" s="4"/>
      <c r="U197" s="4"/>
      <c r="V197" s="4"/>
      <c r="W197" s="4">
        <v>13735.46</v>
      </c>
      <c r="X197" s="4">
        <v>1</v>
      </c>
      <c r="Y197" s="4">
        <v>13735.46</v>
      </c>
      <c r="Z197" s="4"/>
      <c r="AA197" s="4"/>
      <c r="AB197" s="4"/>
    </row>
    <row r="198" spans="1:28" x14ac:dyDescent="0.2">
      <c r="A198" s="4">
        <v>50</v>
      </c>
      <c r="B198" s="4">
        <v>1</v>
      </c>
      <c r="C198" s="4">
        <v>0</v>
      </c>
      <c r="D198" s="4">
        <v>2</v>
      </c>
      <c r="E198" s="4">
        <v>0</v>
      </c>
      <c r="F198" s="4">
        <f>ROUND(F197+F196,O198)</f>
        <v>76169.36</v>
      </c>
      <c r="G198" s="4" t="s">
        <v>84</v>
      </c>
      <c r="H198" s="4" t="s">
        <v>128</v>
      </c>
      <c r="I198" s="4"/>
      <c r="J198" s="4"/>
      <c r="K198" s="4">
        <v>212</v>
      </c>
      <c r="L198" s="4">
        <v>29</v>
      </c>
      <c r="M198" s="4">
        <v>0</v>
      </c>
      <c r="N198" s="4" t="s">
        <v>3</v>
      </c>
      <c r="O198" s="4">
        <v>2</v>
      </c>
      <c r="P198" s="4"/>
      <c r="Q198" s="4"/>
      <c r="R198" s="4"/>
      <c r="S198" s="4"/>
      <c r="T198" s="4"/>
      <c r="U198" s="4"/>
      <c r="V198" s="4"/>
      <c r="W198" s="4">
        <v>76169.36</v>
      </c>
      <c r="X198" s="4">
        <v>1</v>
      </c>
      <c r="Y198" s="4">
        <v>76169.36</v>
      </c>
      <c r="Z198" s="4"/>
      <c r="AA198" s="4"/>
      <c r="AB198" s="4"/>
    </row>
    <row r="200" spans="1:28" x14ac:dyDescent="0.2">
      <c r="A200" s="5">
        <v>61</v>
      </c>
      <c r="B200" s="5"/>
      <c r="C200" s="5"/>
      <c r="D200" s="5"/>
      <c r="E200" s="5"/>
      <c r="F200" s="5">
        <v>12</v>
      </c>
      <c r="G200" s="5" t="s">
        <v>129</v>
      </c>
      <c r="H200" s="5" t="s">
        <v>130</v>
      </c>
    </row>
    <row r="201" spans="1:28" x14ac:dyDescent="0.2">
      <c r="A201" s="5">
        <v>61</v>
      </c>
      <c r="B201" s="5"/>
      <c r="C201" s="5"/>
      <c r="D201" s="5"/>
      <c r="E201" s="5"/>
      <c r="F201" s="5">
        <v>0</v>
      </c>
      <c r="G201" s="5" t="s">
        <v>131</v>
      </c>
      <c r="H201" s="5" t="s">
        <v>130</v>
      </c>
    </row>
    <row r="203" spans="1:28" x14ac:dyDescent="0.2">
      <c r="A203">
        <v>71</v>
      </c>
      <c r="B203">
        <v>1</v>
      </c>
      <c r="D203">
        <v>200001</v>
      </c>
      <c r="E203">
        <v>66580499</v>
      </c>
      <c r="F203" t="s">
        <v>132</v>
      </c>
      <c r="G203" t="s">
        <v>133</v>
      </c>
      <c r="H203">
        <v>80</v>
      </c>
      <c r="I203">
        <v>20</v>
      </c>
    </row>
    <row r="206" spans="1:28" x14ac:dyDescent="0.2">
      <c r="A206">
        <v>70</v>
      </c>
      <c r="B206">
        <v>1</v>
      </c>
      <c r="D206">
        <v>1</v>
      </c>
      <c r="E206" t="s">
        <v>134</v>
      </c>
      <c r="F206" t="s">
        <v>135</v>
      </c>
      <c r="G206">
        <v>1</v>
      </c>
      <c r="H206">
        <v>0</v>
      </c>
      <c r="I206" t="s">
        <v>3</v>
      </c>
      <c r="J206">
        <v>1</v>
      </c>
      <c r="K206">
        <v>0</v>
      </c>
      <c r="L206" t="s">
        <v>3</v>
      </c>
      <c r="M206" t="s">
        <v>3</v>
      </c>
      <c r="N206">
        <v>0</v>
      </c>
      <c r="P206" t="s">
        <v>136</v>
      </c>
    </row>
    <row r="207" spans="1:28" x14ac:dyDescent="0.2">
      <c r="A207">
        <v>70</v>
      </c>
      <c r="B207">
        <v>1</v>
      </c>
      <c r="D207">
        <v>2</v>
      </c>
      <c r="E207" t="s">
        <v>137</v>
      </c>
      <c r="F207" t="s">
        <v>138</v>
      </c>
      <c r="G207">
        <v>0</v>
      </c>
      <c r="H207">
        <v>0</v>
      </c>
      <c r="I207" t="s">
        <v>3</v>
      </c>
      <c r="J207">
        <v>1</v>
      </c>
      <c r="K207">
        <v>0</v>
      </c>
      <c r="L207" t="s">
        <v>3</v>
      </c>
      <c r="M207" t="s">
        <v>3</v>
      </c>
      <c r="N207">
        <v>0</v>
      </c>
      <c r="P207" t="s">
        <v>139</v>
      </c>
    </row>
    <row r="208" spans="1:28" x14ac:dyDescent="0.2">
      <c r="A208">
        <v>70</v>
      </c>
      <c r="B208">
        <v>1</v>
      </c>
      <c r="D208">
        <v>3</v>
      </c>
      <c r="E208" t="s">
        <v>140</v>
      </c>
      <c r="F208" t="s">
        <v>141</v>
      </c>
      <c r="G208">
        <v>0</v>
      </c>
      <c r="H208">
        <v>0</v>
      </c>
      <c r="I208" t="s">
        <v>3</v>
      </c>
      <c r="J208">
        <v>1</v>
      </c>
      <c r="K208">
        <v>0</v>
      </c>
      <c r="L208" t="s">
        <v>3</v>
      </c>
      <c r="M208" t="s">
        <v>3</v>
      </c>
      <c r="N208">
        <v>0</v>
      </c>
      <c r="P208" t="s">
        <v>142</v>
      </c>
    </row>
    <row r="209" spans="1:16" x14ac:dyDescent="0.2">
      <c r="A209">
        <v>70</v>
      </c>
      <c r="B209">
        <v>1</v>
      </c>
      <c r="D209">
        <v>4</v>
      </c>
      <c r="E209" t="s">
        <v>143</v>
      </c>
      <c r="F209" t="s">
        <v>144</v>
      </c>
      <c r="G209">
        <v>1</v>
      </c>
      <c r="H209">
        <v>0</v>
      </c>
      <c r="I209" t="s">
        <v>3</v>
      </c>
      <c r="J209">
        <v>2</v>
      </c>
      <c r="K209">
        <v>0</v>
      </c>
      <c r="L209" t="s">
        <v>3</v>
      </c>
      <c r="M209" t="s">
        <v>3</v>
      </c>
      <c r="N209">
        <v>0</v>
      </c>
      <c r="P209" t="s">
        <v>3</v>
      </c>
    </row>
    <row r="210" spans="1:16" x14ac:dyDescent="0.2">
      <c r="A210">
        <v>70</v>
      </c>
      <c r="B210">
        <v>1</v>
      </c>
      <c r="D210">
        <v>5</v>
      </c>
      <c r="E210" t="s">
        <v>145</v>
      </c>
      <c r="F210" t="s">
        <v>146</v>
      </c>
      <c r="G210">
        <v>0</v>
      </c>
      <c r="H210">
        <v>0</v>
      </c>
      <c r="I210" t="s">
        <v>3</v>
      </c>
      <c r="J210">
        <v>2</v>
      </c>
      <c r="K210">
        <v>0</v>
      </c>
      <c r="L210" t="s">
        <v>3</v>
      </c>
      <c r="M210" t="s">
        <v>3</v>
      </c>
      <c r="N210">
        <v>0</v>
      </c>
      <c r="P210" t="s">
        <v>3</v>
      </c>
    </row>
    <row r="211" spans="1:16" x14ac:dyDescent="0.2">
      <c r="A211">
        <v>70</v>
      </c>
      <c r="B211">
        <v>1</v>
      </c>
      <c r="D211">
        <v>6</v>
      </c>
      <c r="E211" t="s">
        <v>147</v>
      </c>
      <c r="F211" t="s">
        <v>148</v>
      </c>
      <c r="G211">
        <v>0</v>
      </c>
      <c r="H211">
        <v>0</v>
      </c>
      <c r="I211" t="s">
        <v>3</v>
      </c>
      <c r="J211">
        <v>2</v>
      </c>
      <c r="K211">
        <v>0</v>
      </c>
      <c r="L211" t="s">
        <v>3</v>
      </c>
      <c r="M211" t="s">
        <v>3</v>
      </c>
      <c r="N211">
        <v>0</v>
      </c>
      <c r="P211" t="s">
        <v>3</v>
      </c>
    </row>
    <row r="212" spans="1:16" x14ac:dyDescent="0.2">
      <c r="A212">
        <v>70</v>
      </c>
      <c r="B212">
        <v>1</v>
      </c>
      <c r="D212">
        <v>7</v>
      </c>
      <c r="E212" t="s">
        <v>149</v>
      </c>
      <c r="F212" t="s">
        <v>150</v>
      </c>
      <c r="G212">
        <v>0</v>
      </c>
      <c r="H212">
        <v>0</v>
      </c>
      <c r="I212" t="s">
        <v>151</v>
      </c>
      <c r="J212">
        <v>0</v>
      </c>
      <c r="K212">
        <v>0</v>
      </c>
      <c r="L212" t="s">
        <v>3</v>
      </c>
      <c r="M212" t="s">
        <v>3</v>
      </c>
      <c r="N212">
        <v>0</v>
      </c>
      <c r="P212" t="s">
        <v>152</v>
      </c>
    </row>
    <row r="213" spans="1:16" x14ac:dyDescent="0.2">
      <c r="A213">
        <v>70</v>
      </c>
      <c r="B213">
        <v>1</v>
      </c>
      <c r="D213">
        <v>8</v>
      </c>
      <c r="E213" t="s">
        <v>153</v>
      </c>
      <c r="F213" t="s">
        <v>154</v>
      </c>
      <c r="G213">
        <v>1</v>
      </c>
      <c r="H213">
        <v>0</v>
      </c>
      <c r="I213" t="s">
        <v>3</v>
      </c>
      <c r="J213">
        <v>5</v>
      </c>
      <c r="K213">
        <v>0</v>
      </c>
      <c r="L213" t="s">
        <v>3</v>
      </c>
      <c r="M213" t="s">
        <v>3</v>
      </c>
      <c r="N213">
        <v>0</v>
      </c>
      <c r="P213" t="s">
        <v>3</v>
      </c>
    </row>
    <row r="214" spans="1:16" x14ac:dyDescent="0.2">
      <c r="A214">
        <v>70</v>
      </c>
      <c r="B214">
        <v>1</v>
      </c>
      <c r="D214">
        <v>9</v>
      </c>
      <c r="E214" t="s">
        <v>155</v>
      </c>
      <c r="F214" t="s">
        <v>156</v>
      </c>
      <c r="G214">
        <v>0</v>
      </c>
      <c r="H214">
        <v>0</v>
      </c>
      <c r="I214" t="s">
        <v>3</v>
      </c>
      <c r="J214">
        <v>5</v>
      </c>
      <c r="K214">
        <v>0</v>
      </c>
      <c r="L214" t="s">
        <v>3</v>
      </c>
      <c r="M214" t="s">
        <v>3</v>
      </c>
      <c r="N214">
        <v>0</v>
      </c>
      <c r="P214" t="s">
        <v>157</v>
      </c>
    </row>
    <row r="215" spans="1:16" x14ac:dyDescent="0.2">
      <c r="A215">
        <v>70</v>
      </c>
      <c r="B215">
        <v>1</v>
      </c>
      <c r="D215">
        <v>10</v>
      </c>
      <c r="E215" t="s">
        <v>158</v>
      </c>
      <c r="F215" t="s">
        <v>159</v>
      </c>
      <c r="G215">
        <v>0</v>
      </c>
      <c r="H215">
        <v>0</v>
      </c>
      <c r="I215" t="s">
        <v>160</v>
      </c>
      <c r="J215">
        <v>5</v>
      </c>
      <c r="K215">
        <v>0</v>
      </c>
      <c r="L215" t="s">
        <v>3</v>
      </c>
      <c r="M215" t="s">
        <v>3</v>
      </c>
      <c r="N215">
        <v>0</v>
      </c>
      <c r="P215" t="s">
        <v>161</v>
      </c>
    </row>
    <row r="216" spans="1:16" x14ac:dyDescent="0.2">
      <c r="A216">
        <v>70</v>
      </c>
      <c r="B216">
        <v>1</v>
      </c>
      <c r="D216">
        <v>11</v>
      </c>
      <c r="E216" t="s">
        <v>162</v>
      </c>
      <c r="F216" t="s">
        <v>163</v>
      </c>
      <c r="G216">
        <v>0</v>
      </c>
      <c r="H216">
        <v>0</v>
      </c>
      <c r="I216" t="s">
        <v>164</v>
      </c>
      <c r="J216">
        <v>0</v>
      </c>
      <c r="K216">
        <v>0</v>
      </c>
      <c r="L216" t="s">
        <v>3</v>
      </c>
      <c r="M216" t="s">
        <v>3</v>
      </c>
      <c r="N216">
        <v>0</v>
      </c>
      <c r="P216" t="s">
        <v>165</v>
      </c>
    </row>
    <row r="217" spans="1:16" x14ac:dyDescent="0.2">
      <c r="A217">
        <v>70</v>
      </c>
      <c r="B217">
        <v>1</v>
      </c>
      <c r="D217">
        <v>12</v>
      </c>
      <c r="E217" t="s">
        <v>166</v>
      </c>
      <c r="F217" t="s">
        <v>167</v>
      </c>
      <c r="G217">
        <v>0</v>
      </c>
      <c r="H217">
        <v>0</v>
      </c>
      <c r="I217" t="s">
        <v>168</v>
      </c>
      <c r="J217">
        <v>0</v>
      </c>
      <c r="K217">
        <v>0</v>
      </c>
      <c r="L217" t="s">
        <v>3</v>
      </c>
      <c r="M217" t="s">
        <v>3</v>
      </c>
      <c r="N217">
        <v>0</v>
      </c>
      <c r="P217" t="s">
        <v>169</v>
      </c>
    </row>
    <row r="218" spans="1:16" x14ac:dyDescent="0.2">
      <c r="A218">
        <v>70</v>
      </c>
      <c r="B218">
        <v>1</v>
      </c>
      <c r="D218">
        <v>13</v>
      </c>
      <c r="E218" t="s">
        <v>170</v>
      </c>
      <c r="F218" t="s">
        <v>171</v>
      </c>
      <c r="G218">
        <v>0</v>
      </c>
      <c r="H218">
        <v>0</v>
      </c>
      <c r="I218" t="s">
        <v>172</v>
      </c>
      <c r="J218">
        <v>0</v>
      </c>
      <c r="K218">
        <v>0</v>
      </c>
      <c r="L218" t="s">
        <v>3</v>
      </c>
      <c r="M218" t="s">
        <v>3</v>
      </c>
      <c r="N218">
        <v>0</v>
      </c>
      <c r="P218" t="s">
        <v>173</v>
      </c>
    </row>
    <row r="219" spans="1:16" x14ac:dyDescent="0.2">
      <c r="A219">
        <v>70</v>
      </c>
      <c r="B219">
        <v>1</v>
      </c>
      <c r="D219">
        <v>14</v>
      </c>
      <c r="E219" t="s">
        <v>174</v>
      </c>
      <c r="F219" t="s">
        <v>175</v>
      </c>
      <c r="G219">
        <v>0</v>
      </c>
      <c r="H219">
        <v>0</v>
      </c>
      <c r="I219" t="s">
        <v>3</v>
      </c>
      <c r="J219">
        <v>0</v>
      </c>
      <c r="K219">
        <v>0</v>
      </c>
      <c r="L219" t="s">
        <v>3</v>
      </c>
      <c r="M219" t="s">
        <v>3</v>
      </c>
      <c r="N219">
        <v>0</v>
      </c>
      <c r="P219" t="s">
        <v>3</v>
      </c>
    </row>
    <row r="220" spans="1:16" x14ac:dyDescent="0.2">
      <c r="A220">
        <v>70</v>
      </c>
      <c r="B220">
        <v>1</v>
      </c>
      <c r="D220">
        <v>15</v>
      </c>
      <c r="E220" t="s">
        <v>176</v>
      </c>
      <c r="F220" t="s">
        <v>177</v>
      </c>
      <c r="G220">
        <v>0</v>
      </c>
      <c r="H220">
        <v>0</v>
      </c>
      <c r="I220" t="s">
        <v>3</v>
      </c>
      <c r="J220">
        <v>0</v>
      </c>
      <c r="K220">
        <v>0</v>
      </c>
      <c r="L220" t="s">
        <v>3</v>
      </c>
      <c r="M220" t="s">
        <v>3</v>
      </c>
      <c r="N220">
        <v>0</v>
      </c>
      <c r="P220" t="s">
        <v>178</v>
      </c>
    </row>
    <row r="221" spans="1:16" x14ac:dyDescent="0.2">
      <c r="A221">
        <v>70</v>
      </c>
      <c r="B221">
        <v>1</v>
      </c>
      <c r="D221">
        <v>16</v>
      </c>
      <c r="E221" t="s">
        <v>179</v>
      </c>
      <c r="F221" t="s">
        <v>180</v>
      </c>
      <c r="G221">
        <v>0</v>
      </c>
      <c r="H221">
        <v>0</v>
      </c>
      <c r="I221" t="s">
        <v>3</v>
      </c>
      <c r="J221">
        <v>3</v>
      </c>
      <c r="K221">
        <v>0</v>
      </c>
      <c r="L221" t="s">
        <v>3</v>
      </c>
      <c r="M221" t="s">
        <v>3</v>
      </c>
      <c r="N221">
        <v>0</v>
      </c>
      <c r="P221" t="s">
        <v>3</v>
      </c>
    </row>
    <row r="222" spans="1:16" x14ac:dyDescent="0.2">
      <c r="A222">
        <v>70</v>
      </c>
      <c r="B222">
        <v>1</v>
      </c>
      <c r="D222">
        <v>17</v>
      </c>
      <c r="E222" t="s">
        <v>181</v>
      </c>
      <c r="F222" t="s">
        <v>182</v>
      </c>
      <c r="G222">
        <v>1</v>
      </c>
      <c r="H222">
        <v>0</v>
      </c>
      <c r="I222" t="s">
        <v>3</v>
      </c>
      <c r="J222">
        <v>3</v>
      </c>
      <c r="K222">
        <v>0</v>
      </c>
      <c r="L222" t="s">
        <v>3</v>
      </c>
      <c r="M222" t="s">
        <v>3</v>
      </c>
      <c r="N222">
        <v>0</v>
      </c>
      <c r="P222" t="s">
        <v>3</v>
      </c>
    </row>
    <row r="223" spans="1:16" x14ac:dyDescent="0.2">
      <c r="A223">
        <v>70</v>
      </c>
      <c r="B223">
        <v>1</v>
      </c>
      <c r="D223">
        <v>1</v>
      </c>
      <c r="E223" t="s">
        <v>183</v>
      </c>
      <c r="F223" t="s">
        <v>184</v>
      </c>
      <c r="G223">
        <v>0.9</v>
      </c>
      <c r="H223">
        <v>1</v>
      </c>
      <c r="I223" t="s">
        <v>185</v>
      </c>
      <c r="J223">
        <v>0</v>
      </c>
      <c r="K223">
        <v>0</v>
      </c>
      <c r="L223" t="s">
        <v>3</v>
      </c>
      <c r="M223" t="s">
        <v>3</v>
      </c>
      <c r="N223">
        <v>0</v>
      </c>
      <c r="P223" t="s">
        <v>186</v>
      </c>
    </row>
    <row r="224" spans="1:16" x14ac:dyDescent="0.2">
      <c r="A224">
        <v>70</v>
      </c>
      <c r="B224">
        <v>1</v>
      </c>
      <c r="D224">
        <v>2</v>
      </c>
      <c r="E224" t="s">
        <v>187</v>
      </c>
      <c r="F224" t="s">
        <v>188</v>
      </c>
      <c r="G224">
        <v>0.85</v>
      </c>
      <c r="H224">
        <v>1</v>
      </c>
      <c r="I224" t="s">
        <v>189</v>
      </c>
      <c r="J224">
        <v>0</v>
      </c>
      <c r="K224">
        <v>0</v>
      </c>
      <c r="L224" t="s">
        <v>3</v>
      </c>
      <c r="M224" t="s">
        <v>3</v>
      </c>
      <c r="N224">
        <v>0</v>
      </c>
      <c r="P224" t="s">
        <v>190</v>
      </c>
    </row>
    <row r="225" spans="1:50" x14ac:dyDescent="0.2">
      <c r="A225">
        <v>70</v>
      </c>
      <c r="B225">
        <v>1</v>
      </c>
      <c r="D225">
        <v>3</v>
      </c>
      <c r="E225" t="s">
        <v>191</v>
      </c>
      <c r="F225" t="s">
        <v>192</v>
      </c>
      <c r="G225">
        <v>1.03</v>
      </c>
      <c r="H225">
        <v>0</v>
      </c>
      <c r="I225" t="s">
        <v>3</v>
      </c>
      <c r="J225">
        <v>0</v>
      </c>
      <c r="K225">
        <v>0</v>
      </c>
      <c r="L225" t="s">
        <v>3</v>
      </c>
      <c r="M225" t="s">
        <v>3</v>
      </c>
      <c r="N225">
        <v>0</v>
      </c>
      <c r="P225" t="s">
        <v>193</v>
      </c>
    </row>
    <row r="226" spans="1:50" x14ac:dyDescent="0.2">
      <c r="A226">
        <v>70</v>
      </c>
      <c r="B226">
        <v>1</v>
      </c>
      <c r="D226">
        <v>4</v>
      </c>
      <c r="E226" t="s">
        <v>194</v>
      </c>
      <c r="F226" t="s">
        <v>195</v>
      </c>
      <c r="G226">
        <v>1.1499999999999999</v>
      </c>
      <c r="H226">
        <v>0</v>
      </c>
      <c r="I226" t="s">
        <v>3</v>
      </c>
      <c r="J226">
        <v>0</v>
      </c>
      <c r="K226">
        <v>0</v>
      </c>
      <c r="L226" t="s">
        <v>3</v>
      </c>
      <c r="M226" t="s">
        <v>3</v>
      </c>
      <c r="N226">
        <v>0</v>
      </c>
      <c r="P226" t="s">
        <v>196</v>
      </c>
    </row>
    <row r="227" spans="1:50" x14ac:dyDescent="0.2">
      <c r="A227">
        <v>70</v>
      </c>
      <c r="B227">
        <v>1</v>
      </c>
      <c r="D227">
        <v>5</v>
      </c>
      <c r="E227" t="s">
        <v>197</v>
      </c>
      <c r="F227" t="s">
        <v>198</v>
      </c>
      <c r="G227">
        <v>7</v>
      </c>
      <c r="H227">
        <v>0</v>
      </c>
      <c r="I227" t="s">
        <v>3</v>
      </c>
      <c r="J227">
        <v>0</v>
      </c>
      <c r="K227">
        <v>0</v>
      </c>
      <c r="L227" t="s">
        <v>3</v>
      </c>
      <c r="M227" t="s">
        <v>3</v>
      </c>
      <c r="N227">
        <v>0</v>
      </c>
      <c r="P227" t="s">
        <v>3</v>
      </c>
    </row>
    <row r="228" spans="1:50" x14ac:dyDescent="0.2">
      <c r="A228">
        <v>70</v>
      </c>
      <c r="B228">
        <v>1</v>
      </c>
      <c r="D228">
        <v>6</v>
      </c>
      <c r="E228" t="s">
        <v>199</v>
      </c>
      <c r="F228" t="s">
        <v>3</v>
      </c>
      <c r="G228">
        <v>2</v>
      </c>
      <c r="H228">
        <v>0</v>
      </c>
      <c r="I228" t="s">
        <v>3</v>
      </c>
      <c r="J228">
        <v>0</v>
      </c>
      <c r="K228">
        <v>0</v>
      </c>
      <c r="L228" t="s">
        <v>3</v>
      </c>
      <c r="M228" t="s">
        <v>3</v>
      </c>
      <c r="N228">
        <v>0</v>
      </c>
      <c r="P228" t="s">
        <v>3</v>
      </c>
    </row>
    <row r="230" spans="1:50" x14ac:dyDescent="0.2">
      <c r="A230">
        <v>-1</v>
      </c>
    </row>
    <row r="232" spans="1:50" x14ac:dyDescent="0.2">
      <c r="A232" s="3">
        <v>75</v>
      </c>
      <c r="B232" s="3" t="s">
        <v>200</v>
      </c>
      <c r="C232" s="3">
        <v>2026</v>
      </c>
      <c r="D232" s="3">
        <v>1</v>
      </c>
      <c r="E232" s="3">
        <v>0</v>
      </c>
      <c r="F232" s="3">
        <v>1</v>
      </c>
      <c r="G232" s="3">
        <v>0</v>
      </c>
      <c r="H232" s="3">
        <v>1</v>
      </c>
      <c r="I232" s="3">
        <v>0</v>
      </c>
      <c r="J232" s="3">
        <v>3</v>
      </c>
      <c r="K232" s="3">
        <v>0</v>
      </c>
      <c r="L232" s="3">
        <v>0</v>
      </c>
      <c r="M232" s="3">
        <v>0</v>
      </c>
      <c r="N232" s="3">
        <v>88041693</v>
      </c>
      <c r="O232" s="3">
        <v>1</v>
      </c>
    </row>
    <row r="233" spans="1:50" x14ac:dyDescent="0.2">
      <c r="A233" s="6">
        <v>2</v>
      </c>
      <c r="B233" s="6" t="s">
        <v>201</v>
      </c>
      <c r="C233" s="6" t="s">
        <v>202</v>
      </c>
      <c r="D233" s="6">
        <v>0</v>
      </c>
      <c r="E233" s="6">
        <v>0</v>
      </c>
      <c r="F233" s="6">
        <v>0</v>
      </c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>
        <v>88041694</v>
      </c>
    </row>
    <row r="234" spans="1:50" x14ac:dyDescent="0.2">
      <c r="A234" s="6">
        <v>1</v>
      </c>
      <c r="B234" s="6" t="s">
        <v>203</v>
      </c>
      <c r="C234" s="6" t="s">
        <v>204</v>
      </c>
      <c r="D234" s="6">
        <v>2026</v>
      </c>
      <c r="E234" s="6">
        <v>3</v>
      </c>
      <c r="F234" s="6">
        <v>1</v>
      </c>
      <c r="G234" s="6">
        <v>1</v>
      </c>
      <c r="H234" s="6">
        <v>0</v>
      </c>
      <c r="I234" s="6">
        <v>2</v>
      </c>
      <c r="J234" s="6">
        <v>1</v>
      </c>
      <c r="K234" s="6">
        <v>1</v>
      </c>
      <c r="L234" s="6">
        <v>1</v>
      </c>
      <c r="M234" s="6">
        <v>1</v>
      </c>
      <c r="N234" s="6">
        <v>1</v>
      </c>
      <c r="O234" s="6">
        <v>1</v>
      </c>
      <c r="P234" s="6">
        <v>1</v>
      </c>
      <c r="Q234" s="6">
        <v>1</v>
      </c>
      <c r="R234" s="6" t="s">
        <v>3</v>
      </c>
      <c r="S234" s="6" t="s">
        <v>3</v>
      </c>
      <c r="T234" s="6" t="s">
        <v>3</v>
      </c>
      <c r="U234" s="6" t="s">
        <v>3</v>
      </c>
      <c r="V234" s="6" t="s">
        <v>3</v>
      </c>
      <c r="W234" s="6" t="s">
        <v>3</v>
      </c>
      <c r="X234" s="6" t="s">
        <v>3</v>
      </c>
      <c r="Y234" s="6" t="s">
        <v>3</v>
      </c>
      <c r="Z234" s="6" t="s">
        <v>3</v>
      </c>
      <c r="AA234" s="6" t="s">
        <v>3</v>
      </c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>
        <v>88041695</v>
      </c>
      <c r="AO234" s="6" t="s">
        <v>205</v>
      </c>
      <c r="AP234" s="6" t="s">
        <v>206</v>
      </c>
      <c r="AQ234" s="6">
        <v>46078</v>
      </c>
      <c r="AR234" s="6">
        <v>409</v>
      </c>
      <c r="AS234" s="6" t="s">
        <v>207</v>
      </c>
      <c r="AT234" s="6" t="s">
        <v>208</v>
      </c>
      <c r="AU234" s="6" t="s">
        <v>206</v>
      </c>
      <c r="AV234" s="6">
        <v>45720</v>
      </c>
      <c r="AW234" s="6">
        <v>20</v>
      </c>
      <c r="AX234" s="6" t="s">
        <v>209</v>
      </c>
    </row>
    <row r="238" spans="1:50" x14ac:dyDescent="0.2">
      <c r="A238">
        <v>65</v>
      </c>
      <c r="C238">
        <v>1</v>
      </c>
      <c r="D238">
        <v>0</v>
      </c>
      <c r="E238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5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210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72598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33" x14ac:dyDescent="0.2">
      <c r="A12" s="1">
        <v>1</v>
      </c>
      <c r="B12" s="1">
        <v>53</v>
      </c>
      <c r="C12" s="1">
        <v>0</v>
      </c>
      <c r="D12" s="1"/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17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46073</v>
      </c>
      <c r="CT12" s="1">
        <v>540</v>
      </c>
      <c r="CU12" s="1">
        <v>17</v>
      </c>
      <c r="CV12" s="1" t="s">
        <v>278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1</v>
      </c>
      <c r="C14" s="1">
        <v>0</v>
      </c>
      <c r="D14" s="1">
        <v>88041693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7">
        <v>3</v>
      </c>
      <c r="B16" s="7">
        <v>1</v>
      </c>
      <c r="C16" s="7" t="s">
        <v>14</v>
      </c>
      <c r="D16" s="7" t="s">
        <v>14</v>
      </c>
      <c r="E16" s="8">
        <f>ROUND((Source!F155)/1000,2)</f>
        <v>0</v>
      </c>
      <c r="F16" s="8">
        <f>ROUND((Source!F156)/1000,2)</f>
        <v>8.73</v>
      </c>
      <c r="G16" s="8">
        <f>ROUND((Source!F147)/1000,2)</f>
        <v>0</v>
      </c>
      <c r="H16" s="8">
        <f>ROUND((Source!F157)/1000+(Source!F158)/1000,2)</f>
        <v>53.71</v>
      </c>
      <c r="I16" s="8">
        <f>E16+F16+G16+H16</f>
        <v>62.44</v>
      </c>
      <c r="J16" s="8">
        <f>ROUND((Source!F153+Source!F152)/1000,2)</f>
        <v>27.26</v>
      </c>
      <c r="K16" s="8">
        <v>36.33</v>
      </c>
      <c r="L16" s="8">
        <v>0</v>
      </c>
      <c r="M16" s="8">
        <v>0</v>
      </c>
      <c r="N16" s="8">
        <f>I16+L16+M16</f>
        <v>62.44</v>
      </c>
      <c r="AI16" s="7">
        <v>0</v>
      </c>
      <c r="AJ16" s="7">
        <v>0</v>
      </c>
      <c r="AK16" s="7" t="s">
        <v>3</v>
      </c>
      <c r="AL16" s="7" t="s">
        <v>3</v>
      </c>
      <c r="AM16" s="7" t="s">
        <v>3</v>
      </c>
      <c r="AN16" s="7">
        <v>0</v>
      </c>
      <c r="AO16" s="7" t="s">
        <v>3</v>
      </c>
      <c r="AP16" s="7" t="s">
        <v>3</v>
      </c>
      <c r="AT16" s="8">
        <v>31803.620000000006</v>
      </c>
      <c r="AU16" s="8">
        <v>4523.67</v>
      </c>
      <c r="AV16" s="8">
        <v>0</v>
      </c>
      <c r="AW16" s="8">
        <v>0</v>
      </c>
      <c r="AX16" s="8">
        <v>0</v>
      </c>
      <c r="AY16" s="8">
        <v>17.159999999999997</v>
      </c>
      <c r="AZ16" s="8">
        <v>7.2</v>
      </c>
      <c r="BA16" s="8">
        <v>27255.590000000004</v>
      </c>
      <c r="BB16" s="8">
        <v>0</v>
      </c>
      <c r="BC16" s="8">
        <v>8725.5400000000009</v>
      </c>
      <c r="BD16" s="8">
        <v>53708.36</v>
      </c>
      <c r="BE16" s="8">
        <v>0</v>
      </c>
      <c r="BF16" s="8">
        <v>39.372160000000001</v>
      </c>
      <c r="BG16" s="8">
        <v>1.14E-2</v>
      </c>
      <c r="BH16" s="8">
        <v>0</v>
      </c>
      <c r="BI16" s="8">
        <v>20562.560000000001</v>
      </c>
      <c r="BJ16" s="8">
        <v>10067.719999999999</v>
      </c>
      <c r="BK16" s="8">
        <v>62433.9</v>
      </c>
    </row>
    <row r="18" spans="1:16" x14ac:dyDescent="0.2">
      <c r="A18">
        <v>51</v>
      </c>
      <c r="E18">
        <v>0</v>
      </c>
      <c r="F18">
        <v>8.73</v>
      </c>
      <c r="G18">
        <v>0</v>
      </c>
      <c r="H18">
        <v>53.71</v>
      </c>
      <c r="I18">
        <v>62.44</v>
      </c>
      <c r="J18">
        <v>27.26</v>
      </c>
      <c r="K18">
        <v>36.33</v>
      </c>
      <c r="L18">
        <v>0</v>
      </c>
      <c r="M18">
        <v>0</v>
      </c>
      <c r="N18">
        <v>62.44</v>
      </c>
    </row>
    <row r="20" spans="1:16" x14ac:dyDescent="0.2">
      <c r="A20" s="4">
        <v>50</v>
      </c>
      <c r="B20" s="4">
        <v>0</v>
      </c>
      <c r="C20" s="4">
        <v>0</v>
      </c>
      <c r="D20" s="4">
        <v>1</v>
      </c>
      <c r="E20" s="4">
        <v>201</v>
      </c>
      <c r="F20" s="4">
        <v>31803.620000000006</v>
      </c>
      <c r="G20" s="4" t="s">
        <v>29</v>
      </c>
      <c r="H20" s="4" t="s">
        <v>30</v>
      </c>
      <c r="I20" s="4"/>
      <c r="J20" s="4"/>
      <c r="K20" s="4">
        <v>201</v>
      </c>
      <c r="L20" s="4">
        <v>1</v>
      </c>
      <c r="M20" s="4">
        <v>3</v>
      </c>
      <c r="N20" s="4" t="s">
        <v>3</v>
      </c>
      <c r="O20" s="4">
        <v>2</v>
      </c>
      <c r="P20" s="4"/>
    </row>
    <row r="21" spans="1:16" x14ac:dyDescent="0.2">
      <c r="A21" s="4">
        <v>50</v>
      </c>
      <c r="B21" s="4">
        <v>0</v>
      </c>
      <c r="C21" s="4">
        <v>0</v>
      </c>
      <c r="D21" s="4">
        <v>1</v>
      </c>
      <c r="E21" s="4">
        <v>202</v>
      </c>
      <c r="F21" s="4">
        <v>4523.67</v>
      </c>
      <c r="G21" s="4" t="s">
        <v>31</v>
      </c>
      <c r="H21" s="4" t="s">
        <v>32</v>
      </c>
      <c r="I21" s="4"/>
      <c r="J21" s="4"/>
      <c r="K21" s="4">
        <v>202</v>
      </c>
      <c r="L21" s="4">
        <v>2</v>
      </c>
      <c r="M21" s="4">
        <v>3</v>
      </c>
      <c r="N21" s="4" t="s">
        <v>3</v>
      </c>
      <c r="O21" s="4">
        <v>2</v>
      </c>
      <c r="P21" s="4"/>
    </row>
    <row r="22" spans="1:16" x14ac:dyDescent="0.2">
      <c r="A22" s="4">
        <v>50</v>
      </c>
      <c r="B22" s="4">
        <v>0</v>
      </c>
      <c r="C22" s="4">
        <v>0</v>
      </c>
      <c r="D22" s="4">
        <v>1</v>
      </c>
      <c r="E22" s="4">
        <v>222</v>
      </c>
      <c r="F22" s="4">
        <v>0</v>
      </c>
      <c r="G22" s="4" t="s">
        <v>33</v>
      </c>
      <c r="H22" s="4" t="s">
        <v>34</v>
      </c>
      <c r="I22" s="4"/>
      <c r="J22" s="4"/>
      <c r="K22" s="4">
        <v>222</v>
      </c>
      <c r="L22" s="4">
        <v>3</v>
      </c>
      <c r="M22" s="4">
        <v>3</v>
      </c>
      <c r="N22" s="4" t="s">
        <v>3</v>
      </c>
      <c r="O22" s="4">
        <v>2</v>
      </c>
      <c r="P22" s="4"/>
    </row>
    <row r="23" spans="1:16" x14ac:dyDescent="0.2">
      <c r="A23" s="4">
        <v>50</v>
      </c>
      <c r="B23" s="4">
        <v>0</v>
      </c>
      <c r="C23" s="4">
        <v>0</v>
      </c>
      <c r="D23" s="4">
        <v>1</v>
      </c>
      <c r="E23" s="4">
        <v>225</v>
      </c>
      <c r="F23" s="4">
        <v>4523.67</v>
      </c>
      <c r="G23" s="4" t="s">
        <v>35</v>
      </c>
      <c r="H23" s="4" t="s">
        <v>36</v>
      </c>
      <c r="I23" s="4"/>
      <c r="J23" s="4"/>
      <c r="K23" s="4">
        <v>225</v>
      </c>
      <c r="L23" s="4">
        <v>4</v>
      </c>
      <c r="M23" s="4">
        <v>3</v>
      </c>
      <c r="N23" s="4" t="s">
        <v>3</v>
      </c>
      <c r="O23" s="4">
        <v>2</v>
      </c>
      <c r="P23" s="4"/>
    </row>
    <row r="24" spans="1:16" x14ac:dyDescent="0.2">
      <c r="A24" s="4">
        <v>50</v>
      </c>
      <c r="B24" s="4">
        <v>0</v>
      </c>
      <c r="C24" s="4">
        <v>0</v>
      </c>
      <c r="D24" s="4">
        <v>1</v>
      </c>
      <c r="E24" s="4">
        <v>226</v>
      </c>
      <c r="F24" s="4">
        <v>4523.67</v>
      </c>
      <c r="G24" s="4" t="s">
        <v>37</v>
      </c>
      <c r="H24" s="4" t="s">
        <v>38</v>
      </c>
      <c r="I24" s="4"/>
      <c r="J24" s="4"/>
      <c r="K24" s="4">
        <v>226</v>
      </c>
      <c r="L24" s="4">
        <v>5</v>
      </c>
      <c r="M24" s="4">
        <v>3</v>
      </c>
      <c r="N24" s="4" t="s">
        <v>3</v>
      </c>
      <c r="O24" s="4">
        <v>2</v>
      </c>
      <c r="P24" s="4"/>
    </row>
    <row r="25" spans="1:16" x14ac:dyDescent="0.2">
      <c r="A25" s="4">
        <v>50</v>
      </c>
      <c r="B25" s="4">
        <v>0</v>
      </c>
      <c r="C25" s="4">
        <v>0</v>
      </c>
      <c r="D25" s="4">
        <v>1</v>
      </c>
      <c r="E25" s="4">
        <v>227</v>
      </c>
      <c r="F25" s="4">
        <v>0</v>
      </c>
      <c r="G25" s="4" t="s">
        <v>39</v>
      </c>
      <c r="H25" s="4" t="s">
        <v>40</v>
      </c>
      <c r="I25" s="4"/>
      <c r="J25" s="4"/>
      <c r="K25" s="4">
        <v>227</v>
      </c>
      <c r="L25" s="4">
        <v>6</v>
      </c>
      <c r="M25" s="4">
        <v>3</v>
      </c>
      <c r="N25" s="4" t="s">
        <v>3</v>
      </c>
      <c r="O25" s="4">
        <v>2</v>
      </c>
      <c r="P25" s="4"/>
    </row>
    <row r="26" spans="1:16" x14ac:dyDescent="0.2">
      <c r="A26" s="4">
        <v>50</v>
      </c>
      <c r="B26" s="4">
        <v>0</v>
      </c>
      <c r="C26" s="4">
        <v>0</v>
      </c>
      <c r="D26" s="4">
        <v>1</v>
      </c>
      <c r="E26" s="4">
        <v>228</v>
      </c>
      <c r="F26" s="4">
        <v>4523.67</v>
      </c>
      <c r="G26" s="4" t="s">
        <v>41</v>
      </c>
      <c r="H26" s="4" t="s">
        <v>42</v>
      </c>
      <c r="I26" s="4"/>
      <c r="J26" s="4"/>
      <c r="K26" s="4">
        <v>228</v>
      </c>
      <c r="L26" s="4">
        <v>7</v>
      </c>
      <c r="M26" s="4">
        <v>3</v>
      </c>
      <c r="N26" s="4" t="s">
        <v>3</v>
      </c>
      <c r="O26" s="4">
        <v>2</v>
      </c>
      <c r="P26" s="4"/>
    </row>
    <row r="27" spans="1:16" x14ac:dyDescent="0.2">
      <c r="A27" s="4">
        <v>50</v>
      </c>
      <c r="B27" s="4">
        <v>0</v>
      </c>
      <c r="C27" s="4">
        <v>0</v>
      </c>
      <c r="D27" s="4">
        <v>1</v>
      </c>
      <c r="E27" s="4">
        <v>216</v>
      </c>
      <c r="F27" s="4">
        <v>0</v>
      </c>
      <c r="G27" s="4" t="s">
        <v>43</v>
      </c>
      <c r="H27" s="4" t="s">
        <v>44</v>
      </c>
      <c r="I27" s="4"/>
      <c r="J27" s="4"/>
      <c r="K27" s="4">
        <v>216</v>
      </c>
      <c r="L27" s="4">
        <v>8</v>
      </c>
      <c r="M27" s="4">
        <v>3</v>
      </c>
      <c r="N27" s="4" t="s">
        <v>3</v>
      </c>
      <c r="O27" s="4">
        <v>2</v>
      </c>
      <c r="P27" s="4"/>
    </row>
    <row r="28" spans="1:16" x14ac:dyDescent="0.2">
      <c r="A28" s="4">
        <v>50</v>
      </c>
      <c r="B28" s="4">
        <v>0</v>
      </c>
      <c r="C28" s="4">
        <v>0</v>
      </c>
      <c r="D28" s="4">
        <v>1</v>
      </c>
      <c r="E28" s="4">
        <v>223</v>
      </c>
      <c r="F28" s="4">
        <v>0</v>
      </c>
      <c r="G28" s="4" t="s">
        <v>45</v>
      </c>
      <c r="H28" s="4" t="s">
        <v>46</v>
      </c>
      <c r="I28" s="4"/>
      <c r="J28" s="4"/>
      <c r="K28" s="4">
        <v>223</v>
      </c>
      <c r="L28" s="4">
        <v>9</v>
      </c>
      <c r="M28" s="4">
        <v>3</v>
      </c>
      <c r="N28" s="4" t="s">
        <v>3</v>
      </c>
      <c r="O28" s="4">
        <v>2</v>
      </c>
      <c r="P28" s="4"/>
    </row>
    <row r="29" spans="1:16" x14ac:dyDescent="0.2">
      <c r="A29" s="4">
        <v>50</v>
      </c>
      <c r="B29" s="4">
        <v>0</v>
      </c>
      <c r="C29" s="4">
        <v>0</v>
      </c>
      <c r="D29" s="4">
        <v>1</v>
      </c>
      <c r="E29" s="4">
        <v>229</v>
      </c>
      <c r="F29" s="4">
        <v>0</v>
      </c>
      <c r="G29" s="4" t="s">
        <v>47</v>
      </c>
      <c r="H29" s="4" t="s">
        <v>48</v>
      </c>
      <c r="I29" s="4"/>
      <c r="J29" s="4"/>
      <c r="K29" s="4">
        <v>229</v>
      </c>
      <c r="L29" s="4">
        <v>10</v>
      </c>
      <c r="M29" s="4">
        <v>3</v>
      </c>
      <c r="N29" s="4" t="s">
        <v>3</v>
      </c>
      <c r="O29" s="4">
        <v>2</v>
      </c>
      <c r="P29" s="4"/>
    </row>
    <row r="30" spans="1:16" x14ac:dyDescent="0.2">
      <c r="A30" s="4">
        <v>50</v>
      </c>
      <c r="B30" s="4">
        <v>0</v>
      </c>
      <c r="C30" s="4">
        <v>0</v>
      </c>
      <c r="D30" s="4">
        <v>1</v>
      </c>
      <c r="E30" s="4">
        <v>203</v>
      </c>
      <c r="F30" s="4">
        <v>17.159999999999997</v>
      </c>
      <c r="G30" s="4" t="s">
        <v>49</v>
      </c>
      <c r="H30" s="4" t="s">
        <v>50</v>
      </c>
      <c r="I30" s="4"/>
      <c r="J30" s="4"/>
      <c r="K30" s="4">
        <v>203</v>
      </c>
      <c r="L30" s="4">
        <v>11</v>
      </c>
      <c r="M30" s="4">
        <v>3</v>
      </c>
      <c r="N30" s="4" t="s">
        <v>3</v>
      </c>
      <c r="O30" s="4">
        <v>2</v>
      </c>
      <c r="P30" s="4"/>
    </row>
    <row r="31" spans="1:16" x14ac:dyDescent="0.2">
      <c r="A31" s="4">
        <v>50</v>
      </c>
      <c r="B31" s="4">
        <v>0</v>
      </c>
      <c r="C31" s="4">
        <v>0</v>
      </c>
      <c r="D31" s="4">
        <v>1</v>
      </c>
      <c r="E31" s="4">
        <v>231</v>
      </c>
      <c r="F31" s="4">
        <v>0</v>
      </c>
      <c r="G31" s="4" t="s">
        <v>51</v>
      </c>
      <c r="H31" s="4" t="s">
        <v>52</v>
      </c>
      <c r="I31" s="4"/>
      <c r="J31" s="4"/>
      <c r="K31" s="4">
        <v>231</v>
      </c>
      <c r="L31" s="4">
        <v>12</v>
      </c>
      <c r="M31" s="4">
        <v>3</v>
      </c>
      <c r="N31" s="4" t="s">
        <v>3</v>
      </c>
      <c r="O31" s="4">
        <v>2</v>
      </c>
      <c r="P31" s="4"/>
    </row>
    <row r="32" spans="1:16" x14ac:dyDescent="0.2">
      <c r="A32" s="4">
        <v>50</v>
      </c>
      <c r="B32" s="4">
        <v>0</v>
      </c>
      <c r="C32" s="4">
        <v>0</v>
      </c>
      <c r="D32" s="4">
        <v>1</v>
      </c>
      <c r="E32" s="4">
        <v>204</v>
      </c>
      <c r="F32" s="4">
        <v>7.2</v>
      </c>
      <c r="G32" s="4" t="s">
        <v>53</v>
      </c>
      <c r="H32" s="4" t="s">
        <v>54</v>
      </c>
      <c r="I32" s="4"/>
      <c r="J32" s="4"/>
      <c r="K32" s="4">
        <v>204</v>
      </c>
      <c r="L32" s="4">
        <v>13</v>
      </c>
      <c r="M32" s="4">
        <v>3</v>
      </c>
      <c r="N32" s="4" t="s">
        <v>3</v>
      </c>
      <c r="O32" s="4">
        <v>2</v>
      </c>
      <c r="P32" s="4"/>
    </row>
    <row r="33" spans="1:16" x14ac:dyDescent="0.2">
      <c r="A33" s="4">
        <v>50</v>
      </c>
      <c r="B33" s="4">
        <v>0</v>
      </c>
      <c r="C33" s="4">
        <v>0</v>
      </c>
      <c r="D33" s="4">
        <v>1</v>
      </c>
      <c r="E33" s="4">
        <v>205</v>
      </c>
      <c r="F33" s="4">
        <v>27255.590000000004</v>
      </c>
      <c r="G33" s="4" t="s">
        <v>55</v>
      </c>
      <c r="H33" s="4" t="s">
        <v>56</v>
      </c>
      <c r="I33" s="4"/>
      <c r="J33" s="4"/>
      <c r="K33" s="4">
        <v>205</v>
      </c>
      <c r="L33" s="4">
        <v>14</v>
      </c>
      <c r="M33" s="4">
        <v>3</v>
      </c>
      <c r="N33" s="4" t="s">
        <v>3</v>
      </c>
      <c r="O33" s="4">
        <v>2</v>
      </c>
      <c r="P33" s="4"/>
    </row>
    <row r="34" spans="1:16" x14ac:dyDescent="0.2">
      <c r="A34" s="4">
        <v>50</v>
      </c>
      <c r="B34" s="4">
        <v>0</v>
      </c>
      <c r="C34" s="4">
        <v>0</v>
      </c>
      <c r="D34" s="4">
        <v>1</v>
      </c>
      <c r="E34" s="4">
        <v>232</v>
      </c>
      <c r="F34" s="4">
        <v>0</v>
      </c>
      <c r="G34" s="4" t="s">
        <v>57</v>
      </c>
      <c r="H34" s="4" t="s">
        <v>58</v>
      </c>
      <c r="I34" s="4"/>
      <c r="J34" s="4"/>
      <c r="K34" s="4">
        <v>232</v>
      </c>
      <c r="L34" s="4">
        <v>15</v>
      </c>
      <c r="M34" s="4">
        <v>3</v>
      </c>
      <c r="N34" s="4" t="s">
        <v>3</v>
      </c>
      <c r="O34" s="4">
        <v>2</v>
      </c>
      <c r="P34" s="4"/>
    </row>
    <row r="35" spans="1:16" x14ac:dyDescent="0.2">
      <c r="A35" s="4">
        <v>50</v>
      </c>
      <c r="B35" s="4">
        <v>0</v>
      </c>
      <c r="C35" s="4">
        <v>0</v>
      </c>
      <c r="D35" s="4">
        <v>1</v>
      </c>
      <c r="E35" s="4">
        <v>214</v>
      </c>
      <c r="F35" s="4">
        <v>0</v>
      </c>
      <c r="G35" s="4" t="s">
        <v>59</v>
      </c>
      <c r="H35" s="4" t="s">
        <v>60</v>
      </c>
      <c r="I35" s="4"/>
      <c r="J35" s="4"/>
      <c r="K35" s="4">
        <v>214</v>
      </c>
      <c r="L35" s="4">
        <v>16</v>
      </c>
      <c r="M35" s="4">
        <v>3</v>
      </c>
      <c r="N35" s="4" t="s">
        <v>3</v>
      </c>
      <c r="O35" s="4">
        <v>2</v>
      </c>
      <c r="P35" s="4"/>
    </row>
    <row r="36" spans="1:16" x14ac:dyDescent="0.2">
      <c r="A36" s="4">
        <v>50</v>
      </c>
      <c r="B36" s="4">
        <v>0</v>
      </c>
      <c r="C36" s="4">
        <v>0</v>
      </c>
      <c r="D36" s="4">
        <v>1</v>
      </c>
      <c r="E36" s="4">
        <v>215</v>
      </c>
      <c r="F36" s="4">
        <v>8725.5400000000009</v>
      </c>
      <c r="G36" s="4" t="s">
        <v>61</v>
      </c>
      <c r="H36" s="4" t="s">
        <v>62</v>
      </c>
      <c r="I36" s="4"/>
      <c r="J36" s="4"/>
      <c r="K36" s="4">
        <v>215</v>
      </c>
      <c r="L36" s="4">
        <v>17</v>
      </c>
      <c r="M36" s="4">
        <v>3</v>
      </c>
      <c r="N36" s="4" t="s">
        <v>3</v>
      </c>
      <c r="O36" s="4">
        <v>2</v>
      </c>
      <c r="P36" s="4"/>
    </row>
    <row r="37" spans="1:16" x14ac:dyDescent="0.2">
      <c r="A37" s="4">
        <v>50</v>
      </c>
      <c r="B37" s="4">
        <v>0</v>
      </c>
      <c r="C37" s="4">
        <v>0</v>
      </c>
      <c r="D37" s="4">
        <v>1</v>
      </c>
      <c r="E37" s="4">
        <v>217</v>
      </c>
      <c r="F37" s="4">
        <v>53708.36</v>
      </c>
      <c r="G37" s="4" t="s">
        <v>63</v>
      </c>
      <c r="H37" s="4" t="s">
        <v>64</v>
      </c>
      <c r="I37" s="4"/>
      <c r="J37" s="4"/>
      <c r="K37" s="4">
        <v>217</v>
      </c>
      <c r="L37" s="4">
        <v>18</v>
      </c>
      <c r="M37" s="4">
        <v>3</v>
      </c>
      <c r="N37" s="4" t="s">
        <v>3</v>
      </c>
      <c r="O37" s="4">
        <v>2</v>
      </c>
      <c r="P37" s="4"/>
    </row>
    <row r="38" spans="1:16" x14ac:dyDescent="0.2">
      <c r="A38" s="4">
        <v>50</v>
      </c>
      <c r="B38" s="4">
        <v>0</v>
      </c>
      <c r="C38" s="4">
        <v>0</v>
      </c>
      <c r="D38" s="4">
        <v>1</v>
      </c>
      <c r="E38" s="4">
        <v>230</v>
      </c>
      <c r="F38" s="4">
        <v>0</v>
      </c>
      <c r="G38" s="4" t="s">
        <v>65</v>
      </c>
      <c r="H38" s="4" t="s">
        <v>66</v>
      </c>
      <c r="I38" s="4"/>
      <c r="J38" s="4"/>
      <c r="K38" s="4">
        <v>230</v>
      </c>
      <c r="L38" s="4">
        <v>19</v>
      </c>
      <c r="M38" s="4">
        <v>3</v>
      </c>
      <c r="N38" s="4" t="s">
        <v>3</v>
      </c>
      <c r="O38" s="4">
        <v>2</v>
      </c>
      <c r="P38" s="4"/>
    </row>
    <row r="39" spans="1:16" x14ac:dyDescent="0.2">
      <c r="A39" s="4">
        <v>50</v>
      </c>
      <c r="B39" s="4">
        <v>0</v>
      </c>
      <c r="C39" s="4">
        <v>0</v>
      </c>
      <c r="D39" s="4">
        <v>1</v>
      </c>
      <c r="E39" s="4">
        <v>206</v>
      </c>
      <c r="F39" s="4">
        <v>0</v>
      </c>
      <c r="G39" s="4" t="s">
        <v>67</v>
      </c>
      <c r="H39" s="4" t="s">
        <v>68</v>
      </c>
      <c r="I39" s="4"/>
      <c r="J39" s="4"/>
      <c r="K39" s="4">
        <v>206</v>
      </c>
      <c r="L39" s="4">
        <v>20</v>
      </c>
      <c r="M39" s="4">
        <v>3</v>
      </c>
      <c r="N39" s="4" t="s">
        <v>3</v>
      </c>
      <c r="O39" s="4">
        <v>2</v>
      </c>
      <c r="P39" s="4"/>
    </row>
    <row r="40" spans="1:16" x14ac:dyDescent="0.2">
      <c r="A40" s="4">
        <v>50</v>
      </c>
      <c r="B40" s="4">
        <v>0</v>
      </c>
      <c r="C40" s="4">
        <v>0</v>
      </c>
      <c r="D40" s="4">
        <v>1</v>
      </c>
      <c r="E40" s="4">
        <v>207</v>
      </c>
      <c r="F40" s="4">
        <v>39.372160000000001</v>
      </c>
      <c r="G40" s="4" t="s">
        <v>69</v>
      </c>
      <c r="H40" s="4" t="s">
        <v>70</v>
      </c>
      <c r="I40" s="4"/>
      <c r="J40" s="4"/>
      <c r="K40" s="4">
        <v>207</v>
      </c>
      <c r="L40" s="4">
        <v>21</v>
      </c>
      <c r="M40" s="4">
        <v>3</v>
      </c>
      <c r="N40" s="4" t="s">
        <v>3</v>
      </c>
      <c r="O40" s="4">
        <v>-1</v>
      </c>
      <c r="P40" s="4"/>
    </row>
    <row r="41" spans="1:16" x14ac:dyDescent="0.2">
      <c r="A41" s="4">
        <v>50</v>
      </c>
      <c r="B41" s="4">
        <v>0</v>
      </c>
      <c r="C41" s="4">
        <v>0</v>
      </c>
      <c r="D41" s="4">
        <v>1</v>
      </c>
      <c r="E41" s="4">
        <v>208</v>
      </c>
      <c r="F41" s="4">
        <v>1.14E-2</v>
      </c>
      <c r="G41" s="4" t="s">
        <v>71</v>
      </c>
      <c r="H41" s="4" t="s">
        <v>72</v>
      </c>
      <c r="I41" s="4"/>
      <c r="J41" s="4"/>
      <c r="K41" s="4">
        <v>208</v>
      </c>
      <c r="L41" s="4">
        <v>22</v>
      </c>
      <c r="M41" s="4">
        <v>3</v>
      </c>
      <c r="N41" s="4" t="s">
        <v>3</v>
      </c>
      <c r="O41" s="4">
        <v>-1</v>
      </c>
      <c r="P41" s="4"/>
    </row>
    <row r="42" spans="1:16" x14ac:dyDescent="0.2">
      <c r="A42" s="4">
        <v>50</v>
      </c>
      <c r="B42" s="4">
        <v>0</v>
      </c>
      <c r="C42" s="4">
        <v>0</v>
      </c>
      <c r="D42" s="4">
        <v>1</v>
      </c>
      <c r="E42" s="4">
        <v>209</v>
      </c>
      <c r="F42" s="4">
        <v>0</v>
      </c>
      <c r="G42" s="4" t="s">
        <v>73</v>
      </c>
      <c r="H42" s="4" t="s">
        <v>74</v>
      </c>
      <c r="I42" s="4"/>
      <c r="J42" s="4"/>
      <c r="K42" s="4">
        <v>209</v>
      </c>
      <c r="L42" s="4">
        <v>23</v>
      </c>
      <c r="M42" s="4">
        <v>3</v>
      </c>
      <c r="N42" s="4" t="s">
        <v>3</v>
      </c>
      <c r="O42" s="4">
        <v>2</v>
      </c>
      <c r="P42" s="4"/>
    </row>
    <row r="43" spans="1:16" x14ac:dyDescent="0.2">
      <c r="A43" s="4">
        <v>50</v>
      </c>
      <c r="B43" s="4">
        <v>0</v>
      </c>
      <c r="C43" s="4">
        <v>0</v>
      </c>
      <c r="D43" s="4">
        <v>1</v>
      </c>
      <c r="E43" s="4">
        <v>233</v>
      </c>
      <c r="F43" s="4">
        <v>0</v>
      </c>
      <c r="G43" s="4" t="s">
        <v>75</v>
      </c>
      <c r="H43" s="4" t="s">
        <v>76</v>
      </c>
      <c r="I43" s="4"/>
      <c r="J43" s="4"/>
      <c r="K43" s="4">
        <v>233</v>
      </c>
      <c r="L43" s="4">
        <v>24</v>
      </c>
      <c r="M43" s="4">
        <v>3</v>
      </c>
      <c r="N43" s="4" t="s">
        <v>3</v>
      </c>
      <c r="O43" s="4">
        <v>2</v>
      </c>
      <c r="P43" s="4"/>
    </row>
    <row r="44" spans="1:16" x14ac:dyDescent="0.2">
      <c r="A44" s="4">
        <v>50</v>
      </c>
      <c r="B44" s="4">
        <v>0</v>
      </c>
      <c r="C44" s="4">
        <v>0</v>
      </c>
      <c r="D44" s="4">
        <v>1</v>
      </c>
      <c r="E44" s="4">
        <v>210</v>
      </c>
      <c r="F44" s="4">
        <v>20562.560000000001</v>
      </c>
      <c r="G44" s="4" t="s">
        <v>77</v>
      </c>
      <c r="H44" s="4" t="s">
        <v>78</v>
      </c>
      <c r="I44" s="4"/>
      <c r="J44" s="4"/>
      <c r="K44" s="4">
        <v>210</v>
      </c>
      <c r="L44" s="4">
        <v>25</v>
      </c>
      <c r="M44" s="4">
        <v>3</v>
      </c>
      <c r="N44" s="4" t="s">
        <v>3</v>
      </c>
      <c r="O44" s="4">
        <v>2</v>
      </c>
      <c r="P44" s="4"/>
    </row>
    <row r="45" spans="1:16" x14ac:dyDescent="0.2">
      <c r="A45" s="4">
        <v>50</v>
      </c>
      <c r="B45" s="4">
        <v>0</v>
      </c>
      <c r="C45" s="4">
        <v>0</v>
      </c>
      <c r="D45" s="4">
        <v>1</v>
      </c>
      <c r="E45" s="4">
        <v>211</v>
      </c>
      <c r="F45" s="4">
        <v>10067.719999999999</v>
      </c>
      <c r="G45" s="4" t="s">
        <v>79</v>
      </c>
      <c r="H45" s="4" t="s">
        <v>80</v>
      </c>
      <c r="I45" s="4"/>
      <c r="J45" s="4"/>
      <c r="K45" s="4">
        <v>211</v>
      </c>
      <c r="L45" s="4">
        <v>26</v>
      </c>
      <c r="M45" s="4">
        <v>3</v>
      </c>
      <c r="N45" s="4" t="s">
        <v>3</v>
      </c>
      <c r="O45" s="4">
        <v>2</v>
      </c>
      <c r="P45" s="4"/>
    </row>
    <row r="46" spans="1:16" x14ac:dyDescent="0.2">
      <c r="A46" s="4">
        <v>50</v>
      </c>
      <c r="B46" s="4">
        <v>0</v>
      </c>
      <c r="C46" s="4">
        <v>0</v>
      </c>
      <c r="D46" s="4">
        <v>1</v>
      </c>
      <c r="E46" s="4">
        <v>224</v>
      </c>
      <c r="F46" s="4">
        <v>62433.9</v>
      </c>
      <c r="G46" s="4" t="s">
        <v>81</v>
      </c>
      <c r="H46" s="4" t="s">
        <v>82</v>
      </c>
      <c r="I46" s="4"/>
      <c r="J46" s="4"/>
      <c r="K46" s="4">
        <v>224</v>
      </c>
      <c r="L46" s="4">
        <v>27</v>
      </c>
      <c r="M46" s="4">
        <v>3</v>
      </c>
      <c r="N46" s="4" t="s">
        <v>3</v>
      </c>
      <c r="O46" s="4">
        <v>2</v>
      </c>
      <c r="P46" s="4"/>
    </row>
    <row r="47" spans="1:16" x14ac:dyDescent="0.2">
      <c r="A47" s="4">
        <v>50</v>
      </c>
      <c r="B47" s="4">
        <v>1</v>
      </c>
      <c r="C47" s="4">
        <v>0</v>
      </c>
      <c r="D47" s="4">
        <v>2</v>
      </c>
      <c r="E47" s="4">
        <v>0</v>
      </c>
      <c r="F47" s="4">
        <v>13735.46</v>
      </c>
      <c r="G47" s="4" t="s">
        <v>17</v>
      </c>
      <c r="H47" s="4" t="s">
        <v>127</v>
      </c>
      <c r="I47" s="4"/>
      <c r="J47" s="4"/>
      <c r="K47" s="4">
        <v>212</v>
      </c>
      <c r="L47" s="4">
        <v>28</v>
      </c>
      <c r="M47" s="4">
        <v>0</v>
      </c>
      <c r="N47" s="4" t="s">
        <v>3</v>
      </c>
      <c r="O47" s="4">
        <v>-1</v>
      </c>
      <c r="P47" s="4"/>
    </row>
    <row r="48" spans="1:16" x14ac:dyDescent="0.2">
      <c r="A48" s="4">
        <v>50</v>
      </c>
      <c r="B48" s="4">
        <v>1</v>
      </c>
      <c r="C48" s="4">
        <v>0</v>
      </c>
      <c r="D48" s="4">
        <v>2</v>
      </c>
      <c r="E48" s="4">
        <v>0</v>
      </c>
      <c r="F48" s="4">
        <v>76169.36</v>
      </c>
      <c r="G48" s="4" t="s">
        <v>84</v>
      </c>
      <c r="H48" s="4" t="s">
        <v>128</v>
      </c>
      <c r="I48" s="4"/>
      <c r="J48" s="4"/>
      <c r="K48" s="4">
        <v>212</v>
      </c>
      <c r="L48" s="4">
        <v>29</v>
      </c>
      <c r="M48" s="4">
        <v>0</v>
      </c>
      <c r="N48" s="4" t="s">
        <v>3</v>
      </c>
      <c r="O48" s="4">
        <v>2</v>
      </c>
      <c r="P48" s="4"/>
    </row>
    <row r="50" spans="1:50" x14ac:dyDescent="0.2">
      <c r="A50">
        <v>-1</v>
      </c>
    </row>
    <row r="53" spans="1:50" x14ac:dyDescent="0.2">
      <c r="A53" s="3">
        <v>75</v>
      </c>
      <c r="B53" s="3" t="s">
        <v>200</v>
      </c>
      <c r="C53" s="3">
        <v>2026</v>
      </c>
      <c r="D53" s="3">
        <v>1</v>
      </c>
      <c r="E53" s="3">
        <v>0</v>
      </c>
      <c r="F53" s="3">
        <v>1</v>
      </c>
      <c r="G53" s="3">
        <v>0</v>
      </c>
      <c r="H53" s="3">
        <v>1</v>
      </c>
      <c r="I53" s="3">
        <v>0</v>
      </c>
      <c r="J53" s="3">
        <v>3</v>
      </c>
      <c r="K53" s="3">
        <v>0</v>
      </c>
      <c r="L53" s="3">
        <v>0</v>
      </c>
      <c r="M53" s="3">
        <v>0</v>
      </c>
      <c r="N53" s="3">
        <v>88041693</v>
      </c>
      <c r="O53" s="3">
        <v>1</v>
      </c>
    </row>
    <row r="54" spans="1:50" x14ac:dyDescent="0.2">
      <c r="A54" s="6">
        <v>2</v>
      </c>
      <c r="B54" s="6" t="s">
        <v>201</v>
      </c>
      <c r="C54" s="6" t="s">
        <v>202</v>
      </c>
      <c r="D54" s="6">
        <v>0</v>
      </c>
      <c r="E54" s="6">
        <v>0</v>
      </c>
      <c r="F54" s="6">
        <v>0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>
        <v>88041694</v>
      </c>
    </row>
    <row r="55" spans="1:50" x14ac:dyDescent="0.2">
      <c r="A55" s="6">
        <v>1</v>
      </c>
      <c r="B55" s="6" t="s">
        <v>203</v>
      </c>
      <c r="C55" s="6" t="s">
        <v>204</v>
      </c>
      <c r="D55" s="6">
        <v>2026</v>
      </c>
      <c r="E55" s="6">
        <v>3</v>
      </c>
      <c r="F55" s="6">
        <v>1</v>
      </c>
      <c r="G55" s="6">
        <v>1</v>
      </c>
      <c r="H55" s="6">
        <v>0</v>
      </c>
      <c r="I55" s="6">
        <v>2</v>
      </c>
      <c r="J55" s="6">
        <v>1</v>
      </c>
      <c r="K55" s="6">
        <v>1</v>
      </c>
      <c r="L55" s="6">
        <v>1</v>
      </c>
      <c r="M55" s="6">
        <v>1</v>
      </c>
      <c r="N55" s="6">
        <v>1</v>
      </c>
      <c r="O55" s="6">
        <v>1</v>
      </c>
      <c r="P55" s="6">
        <v>1</v>
      </c>
      <c r="Q55" s="6">
        <v>1</v>
      </c>
      <c r="R55" s="6" t="s">
        <v>3</v>
      </c>
      <c r="S55" s="6" t="s">
        <v>3</v>
      </c>
      <c r="T55" s="6" t="s">
        <v>3</v>
      </c>
      <c r="U55" s="6" t="s">
        <v>3</v>
      </c>
      <c r="V55" s="6" t="s">
        <v>3</v>
      </c>
      <c r="W55" s="6" t="s">
        <v>3</v>
      </c>
      <c r="X55" s="6" t="s">
        <v>3</v>
      </c>
      <c r="Y55" s="6" t="s">
        <v>3</v>
      </c>
      <c r="Z55" s="6" t="s">
        <v>3</v>
      </c>
      <c r="AA55" s="6" t="s">
        <v>3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>
        <v>88041695</v>
      </c>
      <c r="AO55" s="6" t="s">
        <v>205</v>
      </c>
      <c r="AP55" s="6" t="s">
        <v>206</v>
      </c>
      <c r="AQ55" s="6">
        <v>46078</v>
      </c>
      <c r="AR55" s="6">
        <v>409</v>
      </c>
      <c r="AS55" s="6" t="s">
        <v>207</v>
      </c>
      <c r="AT55" s="6" t="s">
        <v>208</v>
      </c>
      <c r="AU55" s="6" t="s">
        <v>206</v>
      </c>
      <c r="AV55" s="6">
        <v>45720</v>
      </c>
      <c r="AW55" s="6">
        <v>20</v>
      </c>
      <c r="AX55" s="6" t="s">
        <v>209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20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ROW(Source!A28)</f>
        <v>28</v>
      </c>
      <c r="B1">
        <v>88041693</v>
      </c>
      <c r="C1">
        <v>88041321</v>
      </c>
      <c r="D1">
        <v>82560988</v>
      </c>
      <c r="E1">
        <v>114</v>
      </c>
      <c r="F1">
        <v>1</v>
      </c>
      <c r="G1">
        <v>1</v>
      </c>
      <c r="H1">
        <v>1</v>
      </c>
      <c r="I1" t="s">
        <v>211</v>
      </c>
      <c r="J1" t="s">
        <v>3</v>
      </c>
      <c r="K1" t="s">
        <v>212</v>
      </c>
      <c r="L1">
        <v>1191</v>
      </c>
      <c r="N1">
        <v>1013</v>
      </c>
      <c r="O1" t="s">
        <v>213</v>
      </c>
      <c r="P1" t="s">
        <v>213</v>
      </c>
      <c r="Q1">
        <v>1</v>
      </c>
      <c r="W1">
        <v>0</v>
      </c>
      <c r="X1">
        <v>44848675</v>
      </c>
      <c r="Y1">
        <f t="shared" ref="Y1:Y6" si="0">(AT1*ROUND((0.15+0.2+1),7))</f>
        <v>40.068000000000005</v>
      </c>
      <c r="AA1">
        <v>0</v>
      </c>
      <c r="AB1">
        <v>0</v>
      </c>
      <c r="AC1">
        <v>0</v>
      </c>
      <c r="AD1">
        <v>527.6</v>
      </c>
      <c r="AE1">
        <v>0</v>
      </c>
      <c r="AF1">
        <v>0</v>
      </c>
      <c r="AG1">
        <v>0</v>
      </c>
      <c r="AH1">
        <v>527.6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3</v>
      </c>
      <c r="AT1">
        <v>29.68</v>
      </c>
      <c r="AU1" t="s">
        <v>22</v>
      </c>
      <c r="AV1">
        <v>1</v>
      </c>
      <c r="AW1">
        <v>2</v>
      </c>
      <c r="AX1">
        <v>88041333</v>
      </c>
      <c r="AY1">
        <v>2</v>
      </c>
      <c r="AZ1">
        <v>133120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15659.168</v>
      </c>
      <c r="BN1">
        <v>29.68</v>
      </c>
      <c r="BO1">
        <v>0</v>
      </c>
      <c r="BP1">
        <v>1</v>
      </c>
      <c r="BQ1">
        <v>0</v>
      </c>
      <c r="BR1">
        <v>0</v>
      </c>
      <c r="BS1">
        <v>0</v>
      </c>
      <c r="BT1">
        <v>21139.876799999998</v>
      </c>
      <c r="BU1">
        <v>40.067999999999998</v>
      </c>
      <c r="BV1">
        <v>0</v>
      </c>
      <c r="BW1">
        <v>1</v>
      </c>
      <c r="CU1">
        <f>ROUND(AT1*Source!I28*AH1*AL1,2)</f>
        <v>313.18</v>
      </c>
      <c r="CV1">
        <f>ROUND(Y1*Source!I28,7)</f>
        <v>0.80135999999999996</v>
      </c>
      <c r="CW1">
        <v>0</v>
      </c>
      <c r="CX1">
        <f>ROUND(Y1*Source!I28,7)</f>
        <v>0.80135999999999996</v>
      </c>
      <c r="CY1">
        <f>AD1</f>
        <v>527.6</v>
      </c>
      <c r="CZ1">
        <f>AH1</f>
        <v>527.6</v>
      </c>
      <c r="DA1">
        <f>AL1</f>
        <v>1</v>
      </c>
      <c r="DB1">
        <f t="shared" ref="DB1:DB6" si="1">ROUND((ROUND(AT1*CZ1,2)*ROUND((0.15+0.2+1),7)),6)</f>
        <v>21139.879499999999</v>
      </c>
      <c r="DC1">
        <f t="shared" ref="DC1:DC6" si="2">ROUND((ROUND(AT1*AG1,2)*ROUND((0.15+0.2+1),7)),6)</f>
        <v>0</v>
      </c>
      <c r="DD1" t="s">
        <v>3</v>
      </c>
      <c r="DE1" t="s">
        <v>3</v>
      </c>
      <c r="DF1">
        <f t="shared" ref="DF1:DF6" si="3">ROUND(ROUND(AE1,2)*CX1,2)</f>
        <v>0</v>
      </c>
      <c r="DG1">
        <f>ROUND(ROUND(AF1,2)*CX1,2)</f>
        <v>0</v>
      </c>
      <c r="DH1">
        <f t="shared" ref="DH1:DH31" si="4">ROUND(ROUND(AG1,2)*CX1,2)</f>
        <v>0</v>
      </c>
      <c r="DI1">
        <f t="shared" ref="DI1:DI31" si="5">ROUND(ROUND(AH1,2)*CX1,2)</f>
        <v>422.8</v>
      </c>
      <c r="DJ1">
        <f>DI1</f>
        <v>422.8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ROW(Source!A28)</f>
        <v>28</v>
      </c>
      <c r="B2">
        <v>88041693</v>
      </c>
      <c r="C2">
        <v>88041321</v>
      </c>
      <c r="D2">
        <v>82561165</v>
      </c>
      <c r="E2">
        <v>114</v>
      </c>
      <c r="F2">
        <v>1</v>
      </c>
      <c r="G2">
        <v>1</v>
      </c>
      <c r="H2">
        <v>1</v>
      </c>
      <c r="I2" t="s">
        <v>214</v>
      </c>
      <c r="J2" t="s">
        <v>3</v>
      </c>
      <c r="K2" t="s">
        <v>215</v>
      </c>
      <c r="L2">
        <v>1191</v>
      </c>
      <c r="N2">
        <v>1013</v>
      </c>
      <c r="O2" t="s">
        <v>213</v>
      </c>
      <c r="P2" t="s">
        <v>213</v>
      </c>
      <c r="Q2">
        <v>1</v>
      </c>
      <c r="W2">
        <v>0</v>
      </c>
      <c r="X2">
        <v>-1417349443</v>
      </c>
      <c r="Y2">
        <f t="shared" si="0"/>
        <v>0.54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3</v>
      </c>
      <c r="AT2">
        <v>0.4</v>
      </c>
      <c r="AU2" t="s">
        <v>22</v>
      </c>
      <c r="AV2">
        <v>2</v>
      </c>
      <c r="AW2">
        <v>2</v>
      </c>
      <c r="AX2">
        <v>88041334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ROUND(Y2*Source!I28,7)</f>
        <v>1.0800000000000001E-2</v>
      </c>
      <c r="CY2">
        <f>AD2</f>
        <v>0</v>
      </c>
      <c r="CZ2">
        <f>AH2</f>
        <v>0</v>
      </c>
      <c r="DA2">
        <f>AL2</f>
        <v>1</v>
      </c>
      <c r="DB2">
        <f t="shared" si="1"/>
        <v>0</v>
      </c>
      <c r="DC2">
        <f t="shared" si="2"/>
        <v>0</v>
      </c>
      <c r="DD2" t="s">
        <v>3</v>
      </c>
      <c r="DE2" t="s">
        <v>3</v>
      </c>
      <c r="DF2">
        <f t="shared" si="3"/>
        <v>0</v>
      </c>
      <c r="DG2">
        <f>ROUND(ROUND(AF2,2)*CX2,2)</f>
        <v>0</v>
      </c>
      <c r="DH2">
        <f t="shared" si="4"/>
        <v>0</v>
      </c>
      <c r="DI2">
        <f t="shared" si="5"/>
        <v>0</v>
      </c>
      <c r="DJ2">
        <f>DI2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ROW(Source!A28)</f>
        <v>28</v>
      </c>
      <c r="B3">
        <v>88041693</v>
      </c>
      <c r="C3">
        <v>88041321</v>
      </c>
      <c r="D3">
        <v>82685608</v>
      </c>
      <c r="E3">
        <v>1</v>
      </c>
      <c r="F3">
        <v>1</v>
      </c>
      <c r="G3">
        <v>1</v>
      </c>
      <c r="H3">
        <v>2</v>
      </c>
      <c r="I3" t="s">
        <v>216</v>
      </c>
      <c r="J3" t="s">
        <v>217</v>
      </c>
      <c r="K3" t="s">
        <v>218</v>
      </c>
      <c r="L3">
        <v>1368</v>
      </c>
      <c r="N3">
        <v>1011</v>
      </c>
      <c r="O3" t="s">
        <v>219</v>
      </c>
      <c r="P3" t="s">
        <v>219</v>
      </c>
      <c r="Q3">
        <v>1</v>
      </c>
      <c r="W3">
        <v>0</v>
      </c>
      <c r="X3">
        <v>-468861091</v>
      </c>
      <c r="Y3">
        <f t="shared" si="0"/>
        <v>0.27</v>
      </c>
      <c r="AA3">
        <v>0</v>
      </c>
      <c r="AB3">
        <v>1626.29</v>
      </c>
      <c r="AC3">
        <v>724.95</v>
      </c>
      <c r="AD3">
        <v>0</v>
      </c>
      <c r="AE3">
        <v>0</v>
      </c>
      <c r="AF3">
        <v>1626.29</v>
      </c>
      <c r="AG3">
        <v>724.95</v>
      </c>
      <c r="AH3">
        <v>0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3</v>
      </c>
      <c r="AT3">
        <v>0.2</v>
      </c>
      <c r="AU3" t="s">
        <v>22</v>
      </c>
      <c r="AV3">
        <v>1</v>
      </c>
      <c r="AW3">
        <v>2</v>
      </c>
      <c r="AX3">
        <v>88041335</v>
      </c>
      <c r="AY3">
        <v>2</v>
      </c>
      <c r="AZ3">
        <v>98304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325.25800000000004</v>
      </c>
      <c r="BL3">
        <v>144.99</v>
      </c>
      <c r="BM3">
        <v>0</v>
      </c>
      <c r="BN3">
        <v>0</v>
      </c>
      <c r="BO3">
        <v>0.2</v>
      </c>
      <c r="BP3">
        <v>1</v>
      </c>
      <c r="BQ3">
        <v>0</v>
      </c>
      <c r="BR3">
        <v>439.09829999999999</v>
      </c>
      <c r="BS3">
        <v>195.73650000000004</v>
      </c>
      <c r="BT3">
        <v>0</v>
      </c>
      <c r="BU3">
        <v>0</v>
      </c>
      <c r="BV3">
        <v>0.27</v>
      </c>
      <c r="BW3">
        <v>1</v>
      </c>
      <c r="CV3">
        <v>0</v>
      </c>
      <c r="CW3">
        <f>ROUND(Y3*Source!I28*DO3,7)</f>
        <v>5.4000000000000003E-3</v>
      </c>
      <c r="CX3">
        <f>ROUND(Y3*Source!I28,7)</f>
        <v>5.4000000000000003E-3</v>
      </c>
      <c r="CY3">
        <f>AB3</f>
        <v>1626.29</v>
      </c>
      <c r="CZ3">
        <f>AF3</f>
        <v>1626.29</v>
      </c>
      <c r="DA3">
        <f>AJ3</f>
        <v>1</v>
      </c>
      <c r="DB3">
        <f t="shared" si="1"/>
        <v>439.101</v>
      </c>
      <c r="DC3">
        <f t="shared" si="2"/>
        <v>195.73650000000001</v>
      </c>
      <c r="DD3" t="s">
        <v>3</v>
      </c>
      <c r="DE3" t="s">
        <v>3</v>
      </c>
      <c r="DF3">
        <f t="shared" si="3"/>
        <v>0</v>
      </c>
      <c r="DG3">
        <f>ROUND(ROUND(AF3,2)*CX3,2)</f>
        <v>8.7799999999999994</v>
      </c>
      <c r="DH3">
        <f t="shared" si="4"/>
        <v>3.91</v>
      </c>
      <c r="DI3">
        <f t="shared" si="5"/>
        <v>0</v>
      </c>
      <c r="DJ3">
        <f>DG3+DH3</f>
        <v>12.69</v>
      </c>
      <c r="DK3">
        <v>1</v>
      </c>
      <c r="DL3" t="s">
        <v>220</v>
      </c>
      <c r="DM3">
        <v>6</v>
      </c>
      <c r="DN3" t="s">
        <v>213</v>
      </c>
      <c r="DO3">
        <v>1</v>
      </c>
    </row>
    <row r="4" spans="1:119" x14ac:dyDescent="0.2">
      <c r="A4">
        <f>ROW(Source!A28)</f>
        <v>28</v>
      </c>
      <c r="B4">
        <v>88041693</v>
      </c>
      <c r="C4">
        <v>88041321</v>
      </c>
      <c r="D4">
        <v>82685705</v>
      </c>
      <c r="E4">
        <v>1</v>
      </c>
      <c r="F4">
        <v>1</v>
      </c>
      <c r="G4">
        <v>1</v>
      </c>
      <c r="H4">
        <v>2</v>
      </c>
      <c r="I4" t="s">
        <v>221</v>
      </c>
      <c r="J4" t="s">
        <v>222</v>
      </c>
      <c r="K4" t="s">
        <v>223</v>
      </c>
      <c r="L4">
        <v>1368</v>
      </c>
      <c r="N4">
        <v>1011</v>
      </c>
      <c r="O4" t="s">
        <v>219</v>
      </c>
      <c r="P4" t="s">
        <v>219</v>
      </c>
      <c r="Q4">
        <v>1</v>
      </c>
      <c r="W4">
        <v>0</v>
      </c>
      <c r="X4">
        <v>1413756501</v>
      </c>
      <c r="Y4">
        <f t="shared" si="0"/>
        <v>9.3150000000000013</v>
      </c>
      <c r="AA4">
        <v>0</v>
      </c>
      <c r="AB4">
        <v>2.77</v>
      </c>
      <c r="AC4">
        <v>0</v>
      </c>
      <c r="AD4">
        <v>0</v>
      </c>
      <c r="AE4">
        <v>0</v>
      </c>
      <c r="AF4">
        <v>1.75</v>
      </c>
      <c r="AG4">
        <v>0</v>
      </c>
      <c r="AH4">
        <v>0</v>
      </c>
      <c r="AI4">
        <v>1</v>
      </c>
      <c r="AJ4">
        <v>1.58</v>
      </c>
      <c r="AK4">
        <v>1</v>
      </c>
      <c r="AL4">
        <v>1</v>
      </c>
      <c r="AM4">
        <v>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3</v>
      </c>
      <c r="AT4">
        <v>6.9</v>
      </c>
      <c r="AU4" t="s">
        <v>22</v>
      </c>
      <c r="AV4">
        <v>1</v>
      </c>
      <c r="AW4">
        <v>2</v>
      </c>
      <c r="AX4">
        <v>88041336</v>
      </c>
      <c r="AY4">
        <v>2</v>
      </c>
      <c r="AZ4">
        <v>34816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12.075000000000001</v>
      </c>
      <c r="BL4">
        <v>0</v>
      </c>
      <c r="BM4">
        <v>0</v>
      </c>
      <c r="BN4">
        <v>0</v>
      </c>
      <c r="BO4">
        <v>0</v>
      </c>
      <c r="BP4">
        <v>1</v>
      </c>
      <c r="BQ4">
        <v>0</v>
      </c>
      <c r="BR4">
        <v>16.30125</v>
      </c>
      <c r="BS4">
        <v>0</v>
      </c>
      <c r="BT4">
        <v>0</v>
      </c>
      <c r="BU4">
        <v>0</v>
      </c>
      <c r="BV4">
        <v>0</v>
      </c>
      <c r="BW4">
        <v>1</v>
      </c>
      <c r="CV4">
        <v>0</v>
      </c>
      <c r="CW4">
        <f>ROUND(Y4*Source!I28*DO4,7)</f>
        <v>0</v>
      </c>
      <c r="CX4">
        <f>ROUND(Y4*Source!I28,7)</f>
        <v>0.18629999999999999</v>
      </c>
      <c r="CY4">
        <f>AB4</f>
        <v>2.77</v>
      </c>
      <c r="CZ4">
        <f>AF4</f>
        <v>1.75</v>
      </c>
      <c r="DA4">
        <f>AJ4</f>
        <v>1.58</v>
      </c>
      <c r="DB4">
        <f t="shared" si="1"/>
        <v>16.308</v>
      </c>
      <c r="DC4">
        <f t="shared" si="2"/>
        <v>0</v>
      </c>
      <c r="DD4" t="s">
        <v>3</v>
      </c>
      <c r="DE4" t="s">
        <v>3</v>
      </c>
      <c r="DF4">
        <f t="shared" si="3"/>
        <v>0</v>
      </c>
      <c r="DG4">
        <f>ROUND(ROUND(AF4*AJ4,2)*CX4,2)</f>
        <v>0.52</v>
      </c>
      <c r="DH4">
        <f t="shared" si="4"/>
        <v>0</v>
      </c>
      <c r="DI4">
        <f t="shared" si="5"/>
        <v>0</v>
      </c>
      <c r="DJ4">
        <f>DG4+DH4</f>
        <v>0.52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ROW(Source!A28)</f>
        <v>28</v>
      </c>
      <c r="B5">
        <v>88041693</v>
      </c>
      <c r="C5">
        <v>88041321</v>
      </c>
      <c r="D5">
        <v>82685749</v>
      </c>
      <c r="E5">
        <v>1</v>
      </c>
      <c r="F5">
        <v>1</v>
      </c>
      <c r="G5">
        <v>1</v>
      </c>
      <c r="H5">
        <v>2</v>
      </c>
      <c r="I5" t="s">
        <v>224</v>
      </c>
      <c r="J5" t="s">
        <v>225</v>
      </c>
      <c r="K5" t="s">
        <v>226</v>
      </c>
      <c r="L5">
        <v>1368</v>
      </c>
      <c r="N5">
        <v>1011</v>
      </c>
      <c r="O5" t="s">
        <v>219</v>
      </c>
      <c r="P5" t="s">
        <v>219</v>
      </c>
      <c r="Q5">
        <v>1</v>
      </c>
      <c r="W5">
        <v>0</v>
      </c>
      <c r="X5">
        <v>-161453868</v>
      </c>
      <c r="Y5">
        <f t="shared" si="0"/>
        <v>9.3150000000000013</v>
      </c>
      <c r="AA5">
        <v>0</v>
      </c>
      <c r="AB5">
        <v>19.89</v>
      </c>
      <c r="AC5">
        <v>0</v>
      </c>
      <c r="AD5">
        <v>0</v>
      </c>
      <c r="AE5">
        <v>0</v>
      </c>
      <c r="AF5">
        <v>13.44</v>
      </c>
      <c r="AG5">
        <v>0</v>
      </c>
      <c r="AH5">
        <v>0</v>
      </c>
      <c r="AI5">
        <v>1</v>
      </c>
      <c r="AJ5">
        <v>1.48</v>
      </c>
      <c r="AK5">
        <v>1</v>
      </c>
      <c r="AL5">
        <v>1</v>
      </c>
      <c r="AM5">
        <v>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3</v>
      </c>
      <c r="AT5">
        <v>6.9</v>
      </c>
      <c r="AU5" t="s">
        <v>22</v>
      </c>
      <c r="AV5">
        <v>1</v>
      </c>
      <c r="AW5">
        <v>2</v>
      </c>
      <c r="AX5">
        <v>88041337</v>
      </c>
      <c r="AY5">
        <v>1</v>
      </c>
      <c r="AZ5">
        <v>2048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92.736000000000004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125.19359999999999</v>
      </c>
      <c r="BS5">
        <v>0</v>
      </c>
      <c r="BT5">
        <v>0</v>
      </c>
      <c r="BU5">
        <v>0</v>
      </c>
      <c r="BV5">
        <v>0</v>
      </c>
      <c r="BW5">
        <v>1</v>
      </c>
      <c r="CV5">
        <v>0</v>
      </c>
      <c r="CW5">
        <f>ROUND(Y5*Source!I28*DO5,7)</f>
        <v>0</v>
      </c>
      <c r="CX5">
        <f>ROUND(Y5*Source!I28,7)</f>
        <v>0.18629999999999999</v>
      </c>
      <c r="CY5">
        <f>AB5</f>
        <v>19.89</v>
      </c>
      <c r="CZ5">
        <f>AF5</f>
        <v>13.44</v>
      </c>
      <c r="DA5">
        <f>AJ5</f>
        <v>1.48</v>
      </c>
      <c r="DB5">
        <f t="shared" si="1"/>
        <v>125.199</v>
      </c>
      <c r="DC5">
        <f t="shared" si="2"/>
        <v>0</v>
      </c>
      <c r="DD5" t="s">
        <v>3</v>
      </c>
      <c r="DE5" t="s">
        <v>3</v>
      </c>
      <c r="DF5">
        <f t="shared" si="3"/>
        <v>0</v>
      </c>
      <c r="DG5">
        <f>ROUND(ROUND(AF5*AJ5,2)*CX5,2)</f>
        <v>3.71</v>
      </c>
      <c r="DH5">
        <f t="shared" si="4"/>
        <v>0</v>
      </c>
      <c r="DI5">
        <f t="shared" si="5"/>
        <v>0</v>
      </c>
      <c r="DJ5">
        <f>DG5+DH5</f>
        <v>3.71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ROW(Source!A28)</f>
        <v>28</v>
      </c>
      <c r="B6">
        <v>88041693</v>
      </c>
      <c r="C6">
        <v>88041321</v>
      </c>
      <c r="D6">
        <v>82686499</v>
      </c>
      <c r="E6">
        <v>1</v>
      </c>
      <c r="F6">
        <v>1</v>
      </c>
      <c r="G6">
        <v>1</v>
      </c>
      <c r="H6">
        <v>2</v>
      </c>
      <c r="I6" t="s">
        <v>227</v>
      </c>
      <c r="J6" t="s">
        <v>228</v>
      </c>
      <c r="K6" t="s">
        <v>229</v>
      </c>
      <c r="L6">
        <v>1368</v>
      </c>
      <c r="N6">
        <v>1011</v>
      </c>
      <c r="O6" t="s">
        <v>219</v>
      </c>
      <c r="P6" t="s">
        <v>219</v>
      </c>
      <c r="Q6">
        <v>1</v>
      </c>
      <c r="W6">
        <v>0</v>
      </c>
      <c r="X6">
        <v>-1152394969</v>
      </c>
      <c r="Y6">
        <f t="shared" si="0"/>
        <v>0.27</v>
      </c>
      <c r="AA6">
        <v>0</v>
      </c>
      <c r="AB6">
        <v>641.70000000000005</v>
      </c>
      <c r="AC6">
        <v>539.69000000000005</v>
      </c>
      <c r="AD6">
        <v>0</v>
      </c>
      <c r="AE6">
        <v>0</v>
      </c>
      <c r="AF6">
        <v>641.70000000000005</v>
      </c>
      <c r="AG6">
        <v>539.69000000000005</v>
      </c>
      <c r="AH6">
        <v>0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0</v>
      </c>
      <c r="AP6">
        <v>1</v>
      </c>
      <c r="AQ6">
        <v>1</v>
      </c>
      <c r="AR6">
        <v>0</v>
      </c>
      <c r="AS6" t="s">
        <v>3</v>
      </c>
      <c r="AT6">
        <v>0.2</v>
      </c>
      <c r="AU6" t="s">
        <v>22</v>
      </c>
      <c r="AV6">
        <v>1</v>
      </c>
      <c r="AW6">
        <v>2</v>
      </c>
      <c r="AX6">
        <v>88041338</v>
      </c>
      <c r="AY6">
        <v>2</v>
      </c>
      <c r="AZ6">
        <v>98304</v>
      </c>
      <c r="BA6">
        <v>6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128.34</v>
      </c>
      <c r="BL6">
        <v>107.93800000000002</v>
      </c>
      <c r="BM6">
        <v>0</v>
      </c>
      <c r="BN6">
        <v>0</v>
      </c>
      <c r="BO6">
        <v>0.2</v>
      </c>
      <c r="BP6">
        <v>1</v>
      </c>
      <c r="BQ6">
        <v>0</v>
      </c>
      <c r="BR6">
        <v>173.25900000000001</v>
      </c>
      <c r="BS6">
        <v>145.71630000000002</v>
      </c>
      <c r="BT6">
        <v>0</v>
      </c>
      <c r="BU6">
        <v>0</v>
      </c>
      <c r="BV6">
        <v>0.27</v>
      </c>
      <c r="BW6">
        <v>1</v>
      </c>
      <c r="CV6">
        <v>0</v>
      </c>
      <c r="CW6">
        <f>ROUND(Y6*Source!I28*DO6,7)</f>
        <v>5.4000000000000003E-3</v>
      </c>
      <c r="CX6">
        <f>ROUND(Y6*Source!I28,7)</f>
        <v>5.4000000000000003E-3</v>
      </c>
      <c r="CY6">
        <f>AB6</f>
        <v>641.70000000000005</v>
      </c>
      <c r="CZ6">
        <f>AF6</f>
        <v>641.70000000000005</v>
      </c>
      <c r="DA6">
        <f>AJ6</f>
        <v>1</v>
      </c>
      <c r="DB6">
        <f t="shared" si="1"/>
        <v>173.25899999999999</v>
      </c>
      <c r="DC6">
        <f t="shared" si="2"/>
        <v>145.71899999999999</v>
      </c>
      <c r="DD6" t="s">
        <v>3</v>
      </c>
      <c r="DE6" t="s">
        <v>3</v>
      </c>
      <c r="DF6">
        <f t="shared" si="3"/>
        <v>0</v>
      </c>
      <c r="DG6">
        <f t="shared" ref="DG6:DG31" si="6">ROUND(ROUND(AF6,2)*CX6,2)</f>
        <v>3.47</v>
      </c>
      <c r="DH6">
        <f t="shared" si="4"/>
        <v>2.91</v>
      </c>
      <c r="DI6">
        <f t="shared" si="5"/>
        <v>0</v>
      </c>
      <c r="DJ6">
        <f>DG6+DH6</f>
        <v>6.3800000000000008</v>
      </c>
      <c r="DK6">
        <v>1</v>
      </c>
      <c r="DL6" t="s">
        <v>230</v>
      </c>
      <c r="DM6">
        <v>4</v>
      </c>
      <c r="DN6" t="s">
        <v>213</v>
      </c>
      <c r="DO6">
        <v>1</v>
      </c>
    </row>
    <row r="7" spans="1:119" x14ac:dyDescent="0.2">
      <c r="A7">
        <f>ROW(Source!A28)</f>
        <v>28</v>
      </c>
      <c r="B7">
        <v>88041693</v>
      </c>
      <c r="C7">
        <v>88041321</v>
      </c>
      <c r="D7">
        <v>82632867</v>
      </c>
      <c r="E7">
        <v>1</v>
      </c>
      <c r="F7">
        <v>1</v>
      </c>
      <c r="G7">
        <v>1</v>
      </c>
      <c r="H7">
        <v>3</v>
      </c>
      <c r="I7" t="s">
        <v>231</v>
      </c>
      <c r="J7" t="s">
        <v>232</v>
      </c>
      <c r="K7" t="s">
        <v>233</v>
      </c>
      <c r="L7">
        <v>1302</v>
      </c>
      <c r="N7">
        <v>1003</v>
      </c>
      <c r="O7" t="s">
        <v>234</v>
      </c>
      <c r="P7" t="s">
        <v>234</v>
      </c>
      <c r="Q7">
        <v>10</v>
      </c>
      <c r="W7">
        <v>0</v>
      </c>
      <c r="X7">
        <v>-205675478</v>
      </c>
      <c r="Y7">
        <f t="shared" ref="Y7:Y29" si="7">AT7</f>
        <v>0.245</v>
      </c>
      <c r="AA7">
        <v>57.7</v>
      </c>
      <c r="AB7">
        <v>0</v>
      </c>
      <c r="AC7">
        <v>0</v>
      </c>
      <c r="AD7">
        <v>0</v>
      </c>
      <c r="AE7">
        <v>37.71</v>
      </c>
      <c r="AF7">
        <v>0</v>
      </c>
      <c r="AG7">
        <v>0</v>
      </c>
      <c r="AH7">
        <v>0</v>
      </c>
      <c r="AI7">
        <v>1.53</v>
      </c>
      <c r="AJ7">
        <v>1</v>
      </c>
      <c r="AK7">
        <v>1</v>
      </c>
      <c r="AL7">
        <v>1</v>
      </c>
      <c r="AM7">
        <v>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3</v>
      </c>
      <c r="AT7">
        <v>0.245</v>
      </c>
      <c r="AU7" t="s">
        <v>3</v>
      </c>
      <c r="AV7">
        <v>0</v>
      </c>
      <c r="AW7">
        <v>2</v>
      </c>
      <c r="AX7">
        <v>88041339</v>
      </c>
      <c r="AY7">
        <v>1</v>
      </c>
      <c r="AZ7">
        <v>0</v>
      </c>
      <c r="BA7">
        <v>7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9.2389500000000009</v>
      </c>
      <c r="BK7">
        <v>0</v>
      </c>
      <c r="BL7">
        <v>0</v>
      </c>
      <c r="BM7">
        <v>0</v>
      </c>
      <c r="BN7">
        <v>0</v>
      </c>
      <c r="BO7">
        <v>0</v>
      </c>
      <c r="BP7">
        <v>1</v>
      </c>
      <c r="BQ7">
        <v>9.2389500000000009</v>
      </c>
      <c r="BR7">
        <v>0</v>
      </c>
      <c r="BS7">
        <v>0</v>
      </c>
      <c r="BT7">
        <v>0</v>
      </c>
      <c r="BU7">
        <v>0</v>
      </c>
      <c r="BV7">
        <v>0</v>
      </c>
      <c r="BW7">
        <v>1</v>
      </c>
      <c r="CV7">
        <v>0</v>
      </c>
      <c r="CW7">
        <v>0</v>
      </c>
      <c r="CX7">
        <f>ROUND(Y7*Source!I28,7)</f>
        <v>4.8999999999999998E-3</v>
      </c>
      <c r="CY7">
        <f>AA7</f>
        <v>57.7</v>
      </c>
      <c r="CZ7">
        <f>AE7</f>
        <v>37.71</v>
      </c>
      <c r="DA7">
        <f>AI7</f>
        <v>1.53</v>
      </c>
      <c r="DB7">
        <f t="shared" ref="DB7:DB29" si="8">ROUND(ROUND(AT7*CZ7,2),6)</f>
        <v>9.24</v>
      </c>
      <c r="DC7">
        <f t="shared" ref="DC7:DC29" si="9">ROUND(ROUND(AT7*AG7,2),6)</f>
        <v>0</v>
      </c>
      <c r="DD7" t="s">
        <v>3</v>
      </c>
      <c r="DE7" t="s">
        <v>3</v>
      </c>
      <c r="DF7">
        <f>ROUND(ROUND(AE7*AI7,2)*CX7,2)</f>
        <v>0.28000000000000003</v>
      </c>
      <c r="DG7">
        <f t="shared" si="6"/>
        <v>0</v>
      </c>
      <c r="DH7">
        <f t="shared" si="4"/>
        <v>0</v>
      </c>
      <c r="DI7">
        <f t="shared" si="5"/>
        <v>0</v>
      </c>
      <c r="DJ7">
        <f>DF7</f>
        <v>0.28000000000000003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ROW(Source!A28)</f>
        <v>28</v>
      </c>
      <c r="B8">
        <v>88041693</v>
      </c>
      <c r="C8">
        <v>88041321</v>
      </c>
      <c r="D8">
        <v>82634525</v>
      </c>
      <c r="E8">
        <v>1</v>
      </c>
      <c r="F8">
        <v>1</v>
      </c>
      <c r="G8">
        <v>1</v>
      </c>
      <c r="H8">
        <v>3</v>
      </c>
      <c r="I8" t="s">
        <v>235</v>
      </c>
      <c r="J8" t="s">
        <v>236</v>
      </c>
      <c r="K8" t="s">
        <v>237</v>
      </c>
      <c r="L8">
        <v>1348</v>
      </c>
      <c r="N8">
        <v>1009</v>
      </c>
      <c r="O8" t="s">
        <v>238</v>
      </c>
      <c r="P8" t="s">
        <v>238</v>
      </c>
      <c r="Q8">
        <v>1000</v>
      </c>
      <c r="W8">
        <v>0</v>
      </c>
      <c r="X8">
        <v>-503341320</v>
      </c>
      <c r="Y8">
        <f t="shared" si="7"/>
        <v>6.2E-4</v>
      </c>
      <c r="AA8">
        <v>127956.34</v>
      </c>
      <c r="AB8">
        <v>0</v>
      </c>
      <c r="AC8">
        <v>0</v>
      </c>
      <c r="AD8">
        <v>0</v>
      </c>
      <c r="AE8">
        <v>99190.96</v>
      </c>
      <c r="AF8">
        <v>0</v>
      </c>
      <c r="AG8">
        <v>0</v>
      </c>
      <c r="AH8">
        <v>0</v>
      </c>
      <c r="AI8">
        <v>1.29</v>
      </c>
      <c r="AJ8">
        <v>1</v>
      </c>
      <c r="AK8">
        <v>1</v>
      </c>
      <c r="AL8">
        <v>1</v>
      </c>
      <c r="AM8">
        <v>2</v>
      </c>
      <c r="AN8">
        <v>0</v>
      </c>
      <c r="AO8">
        <v>0</v>
      </c>
      <c r="AP8">
        <v>1</v>
      </c>
      <c r="AQ8">
        <v>1</v>
      </c>
      <c r="AR8">
        <v>0</v>
      </c>
      <c r="AS8" t="s">
        <v>3</v>
      </c>
      <c r="AT8">
        <v>6.2E-4</v>
      </c>
      <c r="AU8" t="s">
        <v>3</v>
      </c>
      <c r="AV8">
        <v>0</v>
      </c>
      <c r="AW8">
        <v>2</v>
      </c>
      <c r="AX8">
        <v>88041340</v>
      </c>
      <c r="AY8">
        <v>1</v>
      </c>
      <c r="AZ8">
        <v>0</v>
      </c>
      <c r="BA8">
        <v>8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61.498395200000004</v>
      </c>
      <c r="BK8">
        <v>0</v>
      </c>
      <c r="BL8">
        <v>0</v>
      </c>
      <c r="BM8">
        <v>0</v>
      </c>
      <c r="BN8">
        <v>0</v>
      </c>
      <c r="BO8">
        <v>0</v>
      </c>
      <c r="BP8">
        <v>1</v>
      </c>
      <c r="BQ8">
        <v>61.498395200000004</v>
      </c>
      <c r="BR8">
        <v>0</v>
      </c>
      <c r="BS8">
        <v>0</v>
      </c>
      <c r="BT8">
        <v>0</v>
      </c>
      <c r="BU8">
        <v>0</v>
      </c>
      <c r="BV8">
        <v>0</v>
      </c>
      <c r="BW8">
        <v>1</v>
      </c>
      <c r="CV8">
        <v>0</v>
      </c>
      <c r="CW8">
        <v>0</v>
      </c>
      <c r="CX8">
        <f>ROUND(Y8*Source!I28,7)</f>
        <v>1.24E-5</v>
      </c>
      <c r="CY8">
        <f>AA8</f>
        <v>127956.34</v>
      </c>
      <c r="CZ8">
        <f>AE8</f>
        <v>99190.96</v>
      </c>
      <c r="DA8">
        <f>AI8</f>
        <v>1.29</v>
      </c>
      <c r="DB8">
        <f t="shared" si="8"/>
        <v>61.5</v>
      </c>
      <c r="DC8">
        <f t="shared" si="9"/>
        <v>0</v>
      </c>
      <c r="DD8" t="s">
        <v>3</v>
      </c>
      <c r="DE8" t="s">
        <v>3</v>
      </c>
      <c r="DF8">
        <f>ROUND(ROUND(AE8*AI8,2)*CX8,2)</f>
        <v>1.59</v>
      </c>
      <c r="DG8">
        <f t="shared" si="6"/>
        <v>0</v>
      </c>
      <c r="DH8">
        <f t="shared" si="4"/>
        <v>0</v>
      </c>
      <c r="DI8">
        <f t="shared" si="5"/>
        <v>0</v>
      </c>
      <c r="DJ8">
        <f>DF8</f>
        <v>1.59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ROW(Source!A28)</f>
        <v>28</v>
      </c>
      <c r="B9">
        <v>88041693</v>
      </c>
      <c r="C9">
        <v>88041321</v>
      </c>
      <c r="D9">
        <v>82643639</v>
      </c>
      <c r="E9">
        <v>1</v>
      </c>
      <c r="F9">
        <v>1</v>
      </c>
      <c r="G9">
        <v>1</v>
      </c>
      <c r="H9">
        <v>3</v>
      </c>
      <c r="I9" t="s">
        <v>239</v>
      </c>
      <c r="J9" t="s">
        <v>240</v>
      </c>
      <c r="K9" t="s">
        <v>241</v>
      </c>
      <c r="L9">
        <v>1346</v>
      </c>
      <c r="N9">
        <v>1009</v>
      </c>
      <c r="O9" t="s">
        <v>242</v>
      </c>
      <c r="P9" t="s">
        <v>242</v>
      </c>
      <c r="Q9">
        <v>1</v>
      </c>
      <c r="W9">
        <v>0</v>
      </c>
      <c r="X9">
        <v>3475675</v>
      </c>
      <c r="Y9">
        <f t="shared" si="7"/>
        <v>0.25</v>
      </c>
      <c r="AA9">
        <v>1499.09</v>
      </c>
      <c r="AB9">
        <v>0</v>
      </c>
      <c r="AC9">
        <v>0</v>
      </c>
      <c r="AD9">
        <v>0</v>
      </c>
      <c r="AE9">
        <v>931.11</v>
      </c>
      <c r="AF9">
        <v>0</v>
      </c>
      <c r="AG9">
        <v>0</v>
      </c>
      <c r="AH9">
        <v>0</v>
      </c>
      <c r="AI9">
        <v>1.61</v>
      </c>
      <c r="AJ9">
        <v>1</v>
      </c>
      <c r="AK9">
        <v>1</v>
      </c>
      <c r="AL9">
        <v>1</v>
      </c>
      <c r="AM9">
        <v>2</v>
      </c>
      <c r="AN9">
        <v>0</v>
      </c>
      <c r="AO9">
        <v>0</v>
      </c>
      <c r="AP9">
        <v>1</v>
      </c>
      <c r="AQ9">
        <v>1</v>
      </c>
      <c r="AR9">
        <v>0</v>
      </c>
      <c r="AS9" t="s">
        <v>3</v>
      </c>
      <c r="AT9">
        <v>0.25</v>
      </c>
      <c r="AU9" t="s">
        <v>3</v>
      </c>
      <c r="AV9">
        <v>0</v>
      </c>
      <c r="AW9">
        <v>2</v>
      </c>
      <c r="AX9">
        <v>88041341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232.7775</v>
      </c>
      <c r="BK9">
        <v>0</v>
      </c>
      <c r="BL9">
        <v>0</v>
      </c>
      <c r="BM9">
        <v>0</v>
      </c>
      <c r="BN9">
        <v>0</v>
      </c>
      <c r="BO9">
        <v>0</v>
      </c>
      <c r="BP9">
        <v>1</v>
      </c>
      <c r="BQ9">
        <v>232.7775</v>
      </c>
      <c r="BR9">
        <v>0</v>
      </c>
      <c r="BS9">
        <v>0</v>
      </c>
      <c r="BT9">
        <v>0</v>
      </c>
      <c r="BU9">
        <v>0</v>
      </c>
      <c r="BV9">
        <v>0</v>
      </c>
      <c r="BW9">
        <v>1</v>
      </c>
      <c r="CV9">
        <v>0</v>
      </c>
      <c r="CW9">
        <v>0</v>
      </c>
      <c r="CX9">
        <f>ROUND(Y9*Source!I28,7)</f>
        <v>5.0000000000000001E-3</v>
      </c>
      <c r="CY9">
        <f>AA9</f>
        <v>1499.09</v>
      </c>
      <c r="CZ9">
        <f>AE9</f>
        <v>931.11</v>
      </c>
      <c r="DA9">
        <f>AI9</f>
        <v>1.61</v>
      </c>
      <c r="DB9">
        <f t="shared" si="8"/>
        <v>232.78</v>
      </c>
      <c r="DC9">
        <f t="shared" si="9"/>
        <v>0</v>
      </c>
      <c r="DD9" t="s">
        <v>3</v>
      </c>
      <c r="DE9" t="s">
        <v>3</v>
      </c>
      <c r="DF9">
        <f>ROUND(ROUND(AE9*AI9,2)*CX9,2)</f>
        <v>7.5</v>
      </c>
      <c r="DG9">
        <f t="shared" si="6"/>
        <v>0</v>
      </c>
      <c r="DH9">
        <f t="shared" si="4"/>
        <v>0</v>
      </c>
      <c r="DI9">
        <f t="shared" si="5"/>
        <v>0</v>
      </c>
      <c r="DJ9">
        <f>DF9</f>
        <v>7.5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ROW(Source!A28)</f>
        <v>28</v>
      </c>
      <c r="B10">
        <v>88041693</v>
      </c>
      <c r="C10">
        <v>88041321</v>
      </c>
      <c r="D10">
        <v>82651876</v>
      </c>
      <c r="E10">
        <v>1</v>
      </c>
      <c r="F10">
        <v>1</v>
      </c>
      <c r="G10">
        <v>1</v>
      </c>
      <c r="H10">
        <v>3</v>
      </c>
      <c r="I10" t="s">
        <v>243</v>
      </c>
      <c r="J10" t="s">
        <v>244</v>
      </c>
      <c r="K10" t="s">
        <v>245</v>
      </c>
      <c r="L10">
        <v>1348</v>
      </c>
      <c r="N10">
        <v>1009</v>
      </c>
      <c r="O10" t="s">
        <v>238</v>
      </c>
      <c r="P10" t="s">
        <v>238</v>
      </c>
      <c r="Q10">
        <v>1000</v>
      </c>
      <c r="W10">
        <v>0</v>
      </c>
      <c r="X10">
        <v>478101877</v>
      </c>
      <c r="Y10">
        <f t="shared" si="7"/>
        <v>7.2000000000000005E-4</v>
      </c>
      <c r="AA10">
        <v>106680.6</v>
      </c>
      <c r="AB10">
        <v>0</v>
      </c>
      <c r="AC10">
        <v>0</v>
      </c>
      <c r="AD10">
        <v>0</v>
      </c>
      <c r="AE10">
        <v>82698.14</v>
      </c>
      <c r="AF10">
        <v>0</v>
      </c>
      <c r="AG10">
        <v>0</v>
      </c>
      <c r="AH10">
        <v>0</v>
      </c>
      <c r="AI10">
        <v>1.29</v>
      </c>
      <c r="AJ10">
        <v>1</v>
      </c>
      <c r="AK10">
        <v>1</v>
      </c>
      <c r="AL10">
        <v>1</v>
      </c>
      <c r="AM10">
        <v>2</v>
      </c>
      <c r="AN10">
        <v>0</v>
      </c>
      <c r="AO10">
        <v>0</v>
      </c>
      <c r="AP10">
        <v>1</v>
      </c>
      <c r="AQ10">
        <v>1</v>
      </c>
      <c r="AR10">
        <v>0</v>
      </c>
      <c r="AS10" t="s">
        <v>3</v>
      </c>
      <c r="AT10">
        <v>7.2000000000000005E-4</v>
      </c>
      <c r="AU10" t="s">
        <v>3</v>
      </c>
      <c r="AV10">
        <v>0</v>
      </c>
      <c r="AW10">
        <v>2</v>
      </c>
      <c r="AX10">
        <v>88041342</v>
      </c>
      <c r="AY10">
        <v>1</v>
      </c>
      <c r="AZ10">
        <v>0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59.5426608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59.5426608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1</v>
      </c>
      <c r="CV10">
        <v>0</v>
      </c>
      <c r="CW10">
        <v>0</v>
      </c>
      <c r="CX10">
        <f>ROUND(Y10*Source!I28,7)</f>
        <v>1.4399999999999999E-5</v>
      </c>
      <c r="CY10">
        <f>AA10</f>
        <v>106680.6</v>
      </c>
      <c r="CZ10">
        <f>AE10</f>
        <v>82698.14</v>
      </c>
      <c r="DA10">
        <f>AI10</f>
        <v>1.29</v>
      </c>
      <c r="DB10">
        <f t="shared" si="8"/>
        <v>59.54</v>
      </c>
      <c r="DC10">
        <f t="shared" si="9"/>
        <v>0</v>
      </c>
      <c r="DD10" t="s">
        <v>3</v>
      </c>
      <c r="DE10" t="s">
        <v>3</v>
      </c>
      <c r="DF10">
        <f>ROUND(ROUND(AE10*AI10,2)*CX10,2)</f>
        <v>1.54</v>
      </c>
      <c r="DG10">
        <f t="shared" si="6"/>
        <v>0</v>
      </c>
      <c r="DH10">
        <f t="shared" si="4"/>
        <v>0</v>
      </c>
      <c r="DI10">
        <f t="shared" si="5"/>
        <v>0</v>
      </c>
      <c r="DJ10">
        <f>DF10</f>
        <v>1.54</v>
      </c>
      <c r="DK10">
        <v>0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ROW(Source!A64)</f>
        <v>64</v>
      </c>
      <c r="B11">
        <v>88041693</v>
      </c>
      <c r="C11">
        <v>88041345</v>
      </c>
      <c r="D11">
        <v>82560988</v>
      </c>
      <c r="E11">
        <v>114</v>
      </c>
      <c r="F11">
        <v>1</v>
      </c>
      <c r="G11">
        <v>1</v>
      </c>
      <c r="H11">
        <v>1</v>
      </c>
      <c r="I11" t="s">
        <v>211</v>
      </c>
      <c r="J11" t="s">
        <v>3</v>
      </c>
      <c r="K11" t="s">
        <v>212</v>
      </c>
      <c r="L11">
        <v>1191</v>
      </c>
      <c r="N11">
        <v>1013</v>
      </c>
      <c r="O11" t="s">
        <v>213</v>
      </c>
      <c r="P11" t="s">
        <v>213</v>
      </c>
      <c r="Q11">
        <v>1</v>
      </c>
      <c r="W11">
        <v>0</v>
      </c>
      <c r="X11">
        <v>44848675</v>
      </c>
      <c r="Y11">
        <f t="shared" si="7"/>
        <v>1.38</v>
      </c>
      <c r="AA11">
        <v>0</v>
      </c>
      <c r="AB11">
        <v>0</v>
      </c>
      <c r="AC11">
        <v>0</v>
      </c>
      <c r="AD11">
        <v>527.6</v>
      </c>
      <c r="AE11">
        <v>0</v>
      </c>
      <c r="AF11">
        <v>0</v>
      </c>
      <c r="AG11">
        <v>0</v>
      </c>
      <c r="AH11">
        <v>527.6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0</v>
      </c>
      <c r="AP11">
        <v>1</v>
      </c>
      <c r="AQ11">
        <v>1</v>
      </c>
      <c r="AR11">
        <v>0</v>
      </c>
      <c r="AS11" t="s">
        <v>3</v>
      </c>
      <c r="AT11">
        <v>1.38</v>
      </c>
      <c r="AU11" t="s">
        <v>3</v>
      </c>
      <c r="AV11">
        <v>1</v>
      </c>
      <c r="AW11">
        <v>2</v>
      </c>
      <c r="AX11">
        <v>88041352</v>
      </c>
      <c r="AY11">
        <v>2</v>
      </c>
      <c r="AZ11">
        <v>131072</v>
      </c>
      <c r="BA11">
        <v>12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728.08799999999997</v>
      </c>
      <c r="BN11">
        <v>1.38</v>
      </c>
      <c r="BO11">
        <v>0</v>
      </c>
      <c r="BP11">
        <v>1</v>
      </c>
      <c r="BQ11">
        <v>0</v>
      </c>
      <c r="BR11">
        <v>0</v>
      </c>
      <c r="BS11">
        <v>0</v>
      </c>
      <c r="BT11">
        <v>728.08799999999997</v>
      </c>
      <c r="BU11">
        <v>1.38</v>
      </c>
      <c r="BV11">
        <v>0</v>
      </c>
      <c r="BW11">
        <v>1</v>
      </c>
      <c r="CU11">
        <f>ROUND(AT11*Source!I64*AH11*AL11,2)</f>
        <v>728.09</v>
      </c>
      <c r="CV11">
        <f>ROUND(Y11*Source!I64,7)</f>
        <v>1.38</v>
      </c>
      <c r="CW11">
        <v>0</v>
      </c>
      <c r="CX11">
        <f>ROUND(Y11*Source!I64,7)</f>
        <v>1.38</v>
      </c>
      <c r="CY11">
        <f>AD11</f>
        <v>527.6</v>
      </c>
      <c r="CZ11">
        <f>AH11</f>
        <v>527.6</v>
      </c>
      <c r="DA11">
        <f>AL11</f>
        <v>1</v>
      </c>
      <c r="DB11">
        <f t="shared" si="8"/>
        <v>728.09</v>
      </c>
      <c r="DC11">
        <f t="shared" si="9"/>
        <v>0</v>
      </c>
      <c r="DD11" t="s">
        <v>3</v>
      </c>
      <c r="DE11" t="s">
        <v>3</v>
      </c>
      <c r="DF11">
        <f>ROUND(ROUND(AE11,2)*CX11,2)</f>
        <v>0</v>
      </c>
      <c r="DG11">
        <f t="shared" si="6"/>
        <v>0</v>
      </c>
      <c r="DH11">
        <f t="shared" si="4"/>
        <v>0</v>
      </c>
      <c r="DI11">
        <f t="shared" si="5"/>
        <v>728.09</v>
      </c>
      <c r="DJ11">
        <f>DI11</f>
        <v>728.09</v>
      </c>
      <c r="DK11">
        <v>1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ROW(Source!A64)</f>
        <v>64</v>
      </c>
      <c r="B12">
        <v>88041693</v>
      </c>
      <c r="C12">
        <v>88041345</v>
      </c>
      <c r="D12">
        <v>82630494</v>
      </c>
      <c r="E12">
        <v>1</v>
      </c>
      <c r="F12">
        <v>1</v>
      </c>
      <c r="G12">
        <v>1</v>
      </c>
      <c r="H12">
        <v>3</v>
      </c>
      <c r="I12" t="s">
        <v>246</v>
      </c>
      <c r="J12" t="s">
        <v>247</v>
      </c>
      <c r="K12" t="s">
        <v>248</v>
      </c>
      <c r="L12">
        <v>1348</v>
      </c>
      <c r="N12">
        <v>1009</v>
      </c>
      <c r="O12" t="s">
        <v>238</v>
      </c>
      <c r="P12" t="s">
        <v>238</v>
      </c>
      <c r="Q12">
        <v>1000</v>
      </c>
      <c r="W12">
        <v>0</v>
      </c>
      <c r="X12">
        <v>-172655202</v>
      </c>
      <c r="Y12">
        <f t="shared" si="7"/>
        <v>8.0000000000000004E-4</v>
      </c>
      <c r="AA12">
        <v>149054.35999999999</v>
      </c>
      <c r="AB12">
        <v>0</v>
      </c>
      <c r="AC12">
        <v>0</v>
      </c>
      <c r="AD12">
        <v>0</v>
      </c>
      <c r="AE12">
        <v>116448.72</v>
      </c>
      <c r="AF12">
        <v>0</v>
      </c>
      <c r="AG12">
        <v>0</v>
      </c>
      <c r="AH12">
        <v>0</v>
      </c>
      <c r="AI12">
        <v>1.28</v>
      </c>
      <c r="AJ12">
        <v>1</v>
      </c>
      <c r="AK12">
        <v>1</v>
      </c>
      <c r="AL12">
        <v>1</v>
      </c>
      <c r="AM12">
        <v>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3</v>
      </c>
      <c r="AT12">
        <v>8.0000000000000004E-4</v>
      </c>
      <c r="AU12" t="s">
        <v>3</v>
      </c>
      <c r="AV12">
        <v>0</v>
      </c>
      <c r="AW12">
        <v>2</v>
      </c>
      <c r="AX12">
        <v>88041353</v>
      </c>
      <c r="AY12">
        <v>1</v>
      </c>
      <c r="AZ12">
        <v>0</v>
      </c>
      <c r="BA12">
        <v>13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93.15897600000001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93.15897600000001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1</v>
      </c>
      <c r="CV12">
        <v>0</v>
      </c>
      <c r="CW12">
        <v>0</v>
      </c>
      <c r="CX12">
        <f>ROUND(Y12*Source!I64,7)</f>
        <v>8.0000000000000004E-4</v>
      </c>
      <c r="CY12">
        <f>AA12</f>
        <v>149054.35999999999</v>
      </c>
      <c r="CZ12">
        <f>AE12</f>
        <v>116448.72</v>
      </c>
      <c r="DA12">
        <f>AI12</f>
        <v>1.28</v>
      </c>
      <c r="DB12">
        <f t="shared" si="8"/>
        <v>93.16</v>
      </c>
      <c r="DC12">
        <f t="shared" si="9"/>
        <v>0</v>
      </c>
      <c r="DD12" t="s">
        <v>3</v>
      </c>
      <c r="DE12" t="s">
        <v>3</v>
      </c>
      <c r="DF12">
        <f>ROUND(ROUND(AE12*AI12,2)*CX12,2)</f>
        <v>119.24</v>
      </c>
      <c r="DG12">
        <f t="shared" si="6"/>
        <v>0</v>
      </c>
      <c r="DH12">
        <f t="shared" si="4"/>
        <v>0</v>
      </c>
      <c r="DI12">
        <f t="shared" si="5"/>
        <v>0</v>
      </c>
      <c r="DJ12">
        <f>DF12</f>
        <v>119.24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ROW(Source!A64)</f>
        <v>64</v>
      </c>
      <c r="B13">
        <v>88041693</v>
      </c>
      <c r="C13">
        <v>88041345</v>
      </c>
      <c r="D13">
        <v>82630508</v>
      </c>
      <c r="E13">
        <v>1</v>
      </c>
      <c r="F13">
        <v>1</v>
      </c>
      <c r="G13">
        <v>1</v>
      </c>
      <c r="H13">
        <v>3</v>
      </c>
      <c r="I13" t="s">
        <v>249</v>
      </c>
      <c r="J13" t="s">
        <v>250</v>
      </c>
      <c r="K13" t="s">
        <v>251</v>
      </c>
      <c r="L13">
        <v>1348</v>
      </c>
      <c r="N13">
        <v>1009</v>
      </c>
      <c r="O13" t="s">
        <v>238</v>
      </c>
      <c r="P13" t="s">
        <v>238</v>
      </c>
      <c r="Q13">
        <v>1000</v>
      </c>
      <c r="W13">
        <v>0</v>
      </c>
      <c r="X13">
        <v>-548258161</v>
      </c>
      <c r="Y13">
        <f t="shared" si="7"/>
        <v>1.0000000000000001E-5</v>
      </c>
      <c r="AA13">
        <v>130923.52</v>
      </c>
      <c r="AB13">
        <v>0</v>
      </c>
      <c r="AC13">
        <v>0</v>
      </c>
      <c r="AD13">
        <v>0</v>
      </c>
      <c r="AE13">
        <v>81827.199999999997</v>
      </c>
      <c r="AF13">
        <v>0</v>
      </c>
      <c r="AG13">
        <v>0</v>
      </c>
      <c r="AH13">
        <v>0</v>
      </c>
      <c r="AI13">
        <v>1.6</v>
      </c>
      <c r="AJ13">
        <v>1</v>
      </c>
      <c r="AK13">
        <v>1</v>
      </c>
      <c r="AL13">
        <v>1</v>
      </c>
      <c r="AM13">
        <v>2</v>
      </c>
      <c r="AN13">
        <v>0</v>
      </c>
      <c r="AO13">
        <v>0</v>
      </c>
      <c r="AP13">
        <v>1</v>
      </c>
      <c r="AQ13">
        <v>1</v>
      </c>
      <c r="AR13">
        <v>0</v>
      </c>
      <c r="AS13" t="s">
        <v>3</v>
      </c>
      <c r="AT13">
        <v>1.0000000000000001E-5</v>
      </c>
      <c r="AU13" t="s">
        <v>3</v>
      </c>
      <c r="AV13">
        <v>0</v>
      </c>
      <c r="AW13">
        <v>2</v>
      </c>
      <c r="AX13">
        <v>88041354</v>
      </c>
      <c r="AY13">
        <v>1</v>
      </c>
      <c r="AZ13">
        <v>0</v>
      </c>
      <c r="BA13">
        <v>14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0.818272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</v>
      </c>
      <c r="BQ13">
        <v>0.818272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1</v>
      </c>
      <c r="CV13">
        <v>0</v>
      </c>
      <c r="CW13">
        <v>0</v>
      </c>
      <c r="CX13">
        <f>ROUND(Y13*Source!I64,7)</f>
        <v>1.0000000000000001E-5</v>
      </c>
      <c r="CY13">
        <f>AA13</f>
        <v>130923.52</v>
      </c>
      <c r="CZ13">
        <f>AE13</f>
        <v>81827.199999999997</v>
      </c>
      <c r="DA13">
        <f>AI13</f>
        <v>1.6</v>
      </c>
      <c r="DB13">
        <f t="shared" si="8"/>
        <v>0.82</v>
      </c>
      <c r="DC13">
        <f t="shared" si="9"/>
        <v>0</v>
      </c>
      <c r="DD13" t="s">
        <v>3</v>
      </c>
      <c r="DE13" t="s">
        <v>3</v>
      </c>
      <c r="DF13">
        <f>ROUND(ROUND(AE13*AI13,2)*CX13,2)</f>
        <v>1.31</v>
      </c>
      <c r="DG13">
        <f t="shared" si="6"/>
        <v>0</v>
      </c>
      <c r="DH13">
        <f t="shared" si="4"/>
        <v>0</v>
      </c>
      <c r="DI13">
        <f t="shared" si="5"/>
        <v>0</v>
      </c>
      <c r="DJ13">
        <f>DF13</f>
        <v>1.31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ROW(Source!A64)</f>
        <v>64</v>
      </c>
      <c r="B14">
        <v>88041693</v>
      </c>
      <c r="C14">
        <v>88041345</v>
      </c>
      <c r="D14">
        <v>82632867</v>
      </c>
      <c r="E14">
        <v>1</v>
      </c>
      <c r="F14">
        <v>1</v>
      </c>
      <c r="G14">
        <v>1</v>
      </c>
      <c r="H14">
        <v>3</v>
      </c>
      <c r="I14" t="s">
        <v>231</v>
      </c>
      <c r="J14" t="s">
        <v>232</v>
      </c>
      <c r="K14" t="s">
        <v>233</v>
      </c>
      <c r="L14">
        <v>1302</v>
      </c>
      <c r="N14">
        <v>1003</v>
      </c>
      <c r="O14" t="s">
        <v>234</v>
      </c>
      <c r="P14" t="s">
        <v>234</v>
      </c>
      <c r="Q14">
        <v>10</v>
      </c>
      <c r="W14">
        <v>0</v>
      </c>
      <c r="X14">
        <v>-205675478</v>
      </c>
      <c r="Y14">
        <f t="shared" si="7"/>
        <v>2.4E-2</v>
      </c>
      <c r="AA14">
        <v>57.7</v>
      </c>
      <c r="AB14">
        <v>0</v>
      </c>
      <c r="AC14">
        <v>0</v>
      </c>
      <c r="AD14">
        <v>0</v>
      </c>
      <c r="AE14">
        <v>37.71</v>
      </c>
      <c r="AF14">
        <v>0</v>
      </c>
      <c r="AG14">
        <v>0</v>
      </c>
      <c r="AH14">
        <v>0</v>
      </c>
      <c r="AI14">
        <v>1.53</v>
      </c>
      <c r="AJ14">
        <v>1</v>
      </c>
      <c r="AK14">
        <v>1</v>
      </c>
      <c r="AL14">
        <v>1</v>
      </c>
      <c r="AM14">
        <v>2</v>
      </c>
      <c r="AN14">
        <v>0</v>
      </c>
      <c r="AO14">
        <v>0</v>
      </c>
      <c r="AP14">
        <v>1</v>
      </c>
      <c r="AQ14">
        <v>1</v>
      </c>
      <c r="AR14">
        <v>0</v>
      </c>
      <c r="AS14" t="s">
        <v>3</v>
      </c>
      <c r="AT14">
        <v>2.4E-2</v>
      </c>
      <c r="AU14" t="s">
        <v>3</v>
      </c>
      <c r="AV14">
        <v>0</v>
      </c>
      <c r="AW14">
        <v>2</v>
      </c>
      <c r="AX14">
        <v>88041355</v>
      </c>
      <c r="AY14">
        <v>1</v>
      </c>
      <c r="AZ14">
        <v>0</v>
      </c>
      <c r="BA14">
        <v>15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0.90504000000000007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0.90504000000000007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1</v>
      </c>
      <c r="CV14">
        <v>0</v>
      </c>
      <c r="CW14">
        <v>0</v>
      </c>
      <c r="CX14">
        <f>ROUND(Y14*Source!I64,7)</f>
        <v>2.4E-2</v>
      </c>
      <c r="CY14">
        <f>AA14</f>
        <v>57.7</v>
      </c>
      <c r="CZ14">
        <f>AE14</f>
        <v>37.71</v>
      </c>
      <c r="DA14">
        <f>AI14</f>
        <v>1.53</v>
      </c>
      <c r="DB14">
        <f t="shared" si="8"/>
        <v>0.91</v>
      </c>
      <c r="DC14">
        <f t="shared" si="9"/>
        <v>0</v>
      </c>
      <c r="DD14" t="s">
        <v>3</v>
      </c>
      <c r="DE14" t="s">
        <v>3</v>
      </c>
      <c r="DF14">
        <f>ROUND(ROUND(AE14*AI14,2)*CX14,2)</f>
        <v>1.38</v>
      </c>
      <c r="DG14">
        <f t="shared" si="6"/>
        <v>0</v>
      </c>
      <c r="DH14">
        <f t="shared" si="4"/>
        <v>0</v>
      </c>
      <c r="DI14">
        <f t="shared" si="5"/>
        <v>0</v>
      </c>
      <c r="DJ14">
        <f>DF14</f>
        <v>1.38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ROW(Source!A64)</f>
        <v>64</v>
      </c>
      <c r="B15">
        <v>88041693</v>
      </c>
      <c r="C15">
        <v>88041345</v>
      </c>
      <c r="D15">
        <v>0</v>
      </c>
      <c r="E15">
        <v>0</v>
      </c>
      <c r="F15">
        <v>1</v>
      </c>
      <c r="G15">
        <v>1</v>
      </c>
      <c r="H15">
        <v>3</v>
      </c>
      <c r="I15" t="s">
        <v>90</v>
      </c>
      <c r="J15" t="s">
        <v>3</v>
      </c>
      <c r="K15" t="s">
        <v>91</v>
      </c>
      <c r="L15">
        <v>1371</v>
      </c>
      <c r="N15">
        <v>1013</v>
      </c>
      <c r="O15" t="s">
        <v>87</v>
      </c>
      <c r="P15" t="s">
        <v>87</v>
      </c>
      <c r="Q15">
        <v>1</v>
      </c>
      <c r="W15">
        <v>0</v>
      </c>
      <c r="X15">
        <v>2063305651</v>
      </c>
      <c r="Y15">
        <f t="shared" si="7"/>
        <v>1</v>
      </c>
      <c r="AA15">
        <v>4388.75</v>
      </c>
      <c r="AB15">
        <v>0</v>
      </c>
      <c r="AC15">
        <v>0</v>
      </c>
      <c r="AD15">
        <v>0</v>
      </c>
      <c r="AE15">
        <v>4388.75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0</v>
      </c>
      <c r="AP15">
        <v>1</v>
      </c>
      <c r="AQ15">
        <v>0</v>
      </c>
      <c r="AR15">
        <v>0</v>
      </c>
      <c r="AS15" t="s">
        <v>3</v>
      </c>
      <c r="AT15">
        <v>1</v>
      </c>
      <c r="AU15" t="s">
        <v>3</v>
      </c>
      <c r="AV15">
        <v>0</v>
      </c>
      <c r="AW15">
        <v>1</v>
      </c>
      <c r="AX15">
        <v>-1</v>
      </c>
      <c r="AY15">
        <v>0</v>
      </c>
      <c r="AZ15">
        <v>0</v>
      </c>
      <c r="BA15" t="s">
        <v>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V15">
        <v>0</v>
      </c>
      <c r="CW15">
        <v>0</v>
      </c>
      <c r="CX15">
        <f>ROUND(Y15*Source!I64,7)</f>
        <v>1</v>
      </c>
      <c r="CY15">
        <f>AA15</f>
        <v>4388.75</v>
      </c>
      <c r="CZ15">
        <f>AE15</f>
        <v>4388.75</v>
      </c>
      <c r="DA15">
        <f>AI15</f>
        <v>1</v>
      </c>
      <c r="DB15">
        <f t="shared" si="8"/>
        <v>4388.75</v>
      </c>
      <c r="DC15">
        <f t="shared" si="9"/>
        <v>0</v>
      </c>
      <c r="DD15" t="s">
        <v>3</v>
      </c>
      <c r="DE15" t="s">
        <v>3</v>
      </c>
      <c r="DF15">
        <f t="shared" ref="DF15:DF21" si="10">ROUND(ROUND(AE15,2)*CX15,2)</f>
        <v>4388.75</v>
      </c>
      <c r="DG15">
        <f t="shared" si="6"/>
        <v>0</v>
      </c>
      <c r="DH15">
        <f t="shared" si="4"/>
        <v>0</v>
      </c>
      <c r="DI15">
        <f t="shared" si="5"/>
        <v>0</v>
      </c>
      <c r="DJ15">
        <f>DF15</f>
        <v>4388.75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ROW(Source!A66)</f>
        <v>66</v>
      </c>
      <c r="B16">
        <v>88041693</v>
      </c>
      <c r="C16">
        <v>88041359</v>
      </c>
      <c r="D16">
        <v>82560988</v>
      </c>
      <c r="E16">
        <v>114</v>
      </c>
      <c r="F16">
        <v>1</v>
      </c>
      <c r="G16">
        <v>1</v>
      </c>
      <c r="H16">
        <v>1</v>
      </c>
      <c r="I16" t="s">
        <v>211</v>
      </c>
      <c r="J16" t="s">
        <v>3</v>
      </c>
      <c r="K16" t="s">
        <v>212</v>
      </c>
      <c r="L16">
        <v>1191</v>
      </c>
      <c r="N16">
        <v>1013</v>
      </c>
      <c r="O16" t="s">
        <v>213</v>
      </c>
      <c r="P16" t="s">
        <v>213</v>
      </c>
      <c r="Q16">
        <v>1</v>
      </c>
      <c r="W16">
        <v>0</v>
      </c>
      <c r="X16">
        <v>44848675</v>
      </c>
      <c r="Y16">
        <f t="shared" si="7"/>
        <v>22.72</v>
      </c>
      <c r="AA16">
        <v>0</v>
      </c>
      <c r="AB16">
        <v>0</v>
      </c>
      <c r="AC16">
        <v>0</v>
      </c>
      <c r="AD16">
        <v>527.6</v>
      </c>
      <c r="AE16">
        <v>0</v>
      </c>
      <c r="AF16">
        <v>0</v>
      </c>
      <c r="AG16">
        <v>0</v>
      </c>
      <c r="AH16">
        <v>527.6</v>
      </c>
      <c r="AI16">
        <v>1</v>
      </c>
      <c r="AJ16">
        <v>1</v>
      </c>
      <c r="AK16">
        <v>1</v>
      </c>
      <c r="AL16">
        <v>1</v>
      </c>
      <c r="AM16">
        <v>-2</v>
      </c>
      <c r="AN16">
        <v>0</v>
      </c>
      <c r="AO16">
        <v>0</v>
      </c>
      <c r="AP16">
        <v>1</v>
      </c>
      <c r="AQ16">
        <v>1</v>
      </c>
      <c r="AR16">
        <v>0</v>
      </c>
      <c r="AS16" t="s">
        <v>3</v>
      </c>
      <c r="AT16">
        <v>22.72</v>
      </c>
      <c r="AU16" t="s">
        <v>3</v>
      </c>
      <c r="AV16">
        <v>1</v>
      </c>
      <c r="AW16">
        <v>2</v>
      </c>
      <c r="AX16">
        <v>88041362</v>
      </c>
      <c r="AY16">
        <v>2</v>
      </c>
      <c r="AZ16">
        <v>131072</v>
      </c>
      <c r="BA16">
        <v>17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11987.072</v>
      </c>
      <c r="BN16">
        <v>22.72</v>
      </c>
      <c r="BO16">
        <v>0</v>
      </c>
      <c r="BP16">
        <v>1</v>
      </c>
      <c r="BQ16">
        <v>0</v>
      </c>
      <c r="BR16">
        <v>0</v>
      </c>
      <c r="BS16">
        <v>0</v>
      </c>
      <c r="BT16">
        <v>11987.072</v>
      </c>
      <c r="BU16">
        <v>22.72</v>
      </c>
      <c r="BV16">
        <v>0</v>
      </c>
      <c r="BW16">
        <v>1</v>
      </c>
      <c r="CU16">
        <f>ROUND(AT16*Source!I66*AH16*AL16,2)</f>
        <v>359.61</v>
      </c>
      <c r="CV16">
        <f>ROUND(Y16*Source!I66,7)</f>
        <v>0.68159999999999998</v>
      </c>
      <c r="CW16">
        <v>0</v>
      </c>
      <c r="CX16">
        <f>ROUND(Y16*Source!I66,7)</f>
        <v>0.68159999999999998</v>
      </c>
      <c r="CY16">
        <f>AD16</f>
        <v>527.6</v>
      </c>
      <c r="CZ16">
        <f>AH16</f>
        <v>527.6</v>
      </c>
      <c r="DA16">
        <f>AL16</f>
        <v>1</v>
      </c>
      <c r="DB16">
        <f t="shared" si="8"/>
        <v>11987.07</v>
      </c>
      <c r="DC16">
        <f t="shared" si="9"/>
        <v>0</v>
      </c>
      <c r="DD16" t="s">
        <v>3</v>
      </c>
      <c r="DE16" t="s">
        <v>3</v>
      </c>
      <c r="DF16">
        <f t="shared" si="10"/>
        <v>0</v>
      </c>
      <c r="DG16">
        <f t="shared" si="6"/>
        <v>0</v>
      </c>
      <c r="DH16">
        <f t="shared" si="4"/>
        <v>0</v>
      </c>
      <c r="DI16">
        <f t="shared" si="5"/>
        <v>359.61</v>
      </c>
      <c r="DJ16">
        <f>DI16</f>
        <v>359.61</v>
      </c>
      <c r="DK16">
        <v>1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ROW(Source!A67)</f>
        <v>67</v>
      </c>
      <c r="B17">
        <v>88041693</v>
      </c>
      <c r="C17">
        <v>88041365</v>
      </c>
      <c r="D17">
        <v>82560988</v>
      </c>
      <c r="E17">
        <v>114</v>
      </c>
      <c r="F17">
        <v>1</v>
      </c>
      <c r="G17">
        <v>1</v>
      </c>
      <c r="H17">
        <v>1</v>
      </c>
      <c r="I17" t="s">
        <v>211</v>
      </c>
      <c r="J17" t="s">
        <v>3</v>
      </c>
      <c r="K17" t="s">
        <v>212</v>
      </c>
      <c r="L17">
        <v>1191</v>
      </c>
      <c r="N17">
        <v>1013</v>
      </c>
      <c r="O17" t="s">
        <v>213</v>
      </c>
      <c r="P17" t="s">
        <v>213</v>
      </c>
      <c r="Q17">
        <v>1</v>
      </c>
      <c r="W17">
        <v>0</v>
      </c>
      <c r="X17">
        <v>44848675</v>
      </c>
      <c r="Y17">
        <f t="shared" si="7"/>
        <v>32.159999999999997</v>
      </c>
      <c r="AA17">
        <v>0</v>
      </c>
      <c r="AB17">
        <v>0</v>
      </c>
      <c r="AC17">
        <v>0</v>
      </c>
      <c r="AD17">
        <v>527.6</v>
      </c>
      <c r="AE17">
        <v>0</v>
      </c>
      <c r="AF17">
        <v>0</v>
      </c>
      <c r="AG17">
        <v>0</v>
      </c>
      <c r="AH17">
        <v>527.6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3</v>
      </c>
      <c r="AT17">
        <v>32.159999999999997</v>
      </c>
      <c r="AU17" t="s">
        <v>3</v>
      </c>
      <c r="AV17">
        <v>1</v>
      </c>
      <c r="AW17">
        <v>2</v>
      </c>
      <c r="AX17">
        <v>88041374</v>
      </c>
      <c r="AY17">
        <v>2</v>
      </c>
      <c r="AZ17">
        <v>131072</v>
      </c>
      <c r="BA17">
        <v>19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16967.615999999998</v>
      </c>
      <c r="BN17">
        <v>32.159999999999997</v>
      </c>
      <c r="BO17">
        <v>0</v>
      </c>
      <c r="BP17">
        <v>1</v>
      </c>
      <c r="BQ17">
        <v>0</v>
      </c>
      <c r="BR17">
        <v>0</v>
      </c>
      <c r="BS17">
        <v>0</v>
      </c>
      <c r="BT17">
        <v>16967.615999999998</v>
      </c>
      <c r="BU17">
        <v>32.159999999999997</v>
      </c>
      <c r="BV17">
        <v>0</v>
      </c>
      <c r="BW17">
        <v>1</v>
      </c>
      <c r="CU17">
        <f>ROUND(AT17*Source!I67*AH17*AL17,2)</f>
        <v>169.68</v>
      </c>
      <c r="CV17">
        <f>ROUND(Y17*Source!I67,7)</f>
        <v>0.3216</v>
      </c>
      <c r="CW17">
        <v>0</v>
      </c>
      <c r="CX17">
        <f>ROUND(Y17*Source!I67,7)</f>
        <v>0.3216</v>
      </c>
      <c r="CY17">
        <f>AD17</f>
        <v>527.6</v>
      </c>
      <c r="CZ17">
        <f>AH17</f>
        <v>527.6</v>
      </c>
      <c r="DA17">
        <f>AL17</f>
        <v>1</v>
      </c>
      <c r="DB17">
        <f t="shared" si="8"/>
        <v>16967.62</v>
      </c>
      <c r="DC17">
        <f t="shared" si="9"/>
        <v>0</v>
      </c>
      <c r="DD17" t="s">
        <v>3</v>
      </c>
      <c r="DE17" t="s">
        <v>3</v>
      </c>
      <c r="DF17">
        <f t="shared" si="10"/>
        <v>0</v>
      </c>
      <c r="DG17">
        <f t="shared" si="6"/>
        <v>0</v>
      </c>
      <c r="DH17">
        <f t="shared" si="4"/>
        <v>0</v>
      </c>
      <c r="DI17">
        <f t="shared" si="5"/>
        <v>169.68</v>
      </c>
      <c r="DJ17">
        <f>DI17</f>
        <v>169.68</v>
      </c>
      <c r="DK17">
        <v>1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ROW(Source!A67)</f>
        <v>67</v>
      </c>
      <c r="B18">
        <v>88041693</v>
      </c>
      <c r="C18">
        <v>88041365</v>
      </c>
      <c r="D18">
        <v>82561165</v>
      </c>
      <c r="E18">
        <v>114</v>
      </c>
      <c r="F18">
        <v>1</v>
      </c>
      <c r="G18">
        <v>1</v>
      </c>
      <c r="H18">
        <v>1</v>
      </c>
      <c r="I18" t="s">
        <v>214</v>
      </c>
      <c r="J18" t="s">
        <v>3</v>
      </c>
      <c r="K18" t="s">
        <v>215</v>
      </c>
      <c r="L18">
        <v>1191</v>
      </c>
      <c r="N18">
        <v>1013</v>
      </c>
      <c r="O18" t="s">
        <v>213</v>
      </c>
      <c r="P18" t="s">
        <v>213</v>
      </c>
      <c r="Q18">
        <v>1</v>
      </c>
      <c r="W18">
        <v>0</v>
      </c>
      <c r="X18">
        <v>-1417349443</v>
      </c>
      <c r="Y18">
        <f t="shared" si="7"/>
        <v>0.06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0</v>
      </c>
      <c r="AP18">
        <v>1</v>
      </c>
      <c r="AQ18">
        <v>1</v>
      </c>
      <c r="AR18">
        <v>0</v>
      </c>
      <c r="AS18" t="s">
        <v>3</v>
      </c>
      <c r="AT18">
        <v>0.06</v>
      </c>
      <c r="AU18" t="s">
        <v>3</v>
      </c>
      <c r="AV18">
        <v>2</v>
      </c>
      <c r="AW18">
        <v>2</v>
      </c>
      <c r="AX18">
        <v>88041375</v>
      </c>
      <c r="AY18">
        <v>1</v>
      </c>
      <c r="AZ18">
        <v>0</v>
      </c>
      <c r="BA18">
        <v>20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V18">
        <v>0</v>
      </c>
      <c r="CW18">
        <v>0</v>
      </c>
      <c r="CX18">
        <f>ROUND(Y18*Source!I67,7)</f>
        <v>5.9999999999999995E-4</v>
      </c>
      <c r="CY18">
        <f>AD18</f>
        <v>0</v>
      </c>
      <c r="CZ18">
        <f>AH18</f>
        <v>0</v>
      </c>
      <c r="DA18">
        <f>AL18</f>
        <v>1</v>
      </c>
      <c r="DB18">
        <f t="shared" si="8"/>
        <v>0</v>
      </c>
      <c r="DC18">
        <f t="shared" si="9"/>
        <v>0</v>
      </c>
      <c r="DD18" t="s">
        <v>3</v>
      </c>
      <c r="DE18" t="s">
        <v>3</v>
      </c>
      <c r="DF18">
        <f t="shared" si="10"/>
        <v>0</v>
      </c>
      <c r="DG18">
        <f t="shared" si="6"/>
        <v>0</v>
      </c>
      <c r="DH18">
        <f t="shared" si="4"/>
        <v>0</v>
      </c>
      <c r="DI18">
        <f t="shared" si="5"/>
        <v>0</v>
      </c>
      <c r="DJ18">
        <f>DI18</f>
        <v>0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ROW(Source!A67)</f>
        <v>67</v>
      </c>
      <c r="B19">
        <v>88041693</v>
      </c>
      <c r="C19">
        <v>88041365</v>
      </c>
      <c r="D19">
        <v>82685608</v>
      </c>
      <c r="E19">
        <v>1</v>
      </c>
      <c r="F19">
        <v>1</v>
      </c>
      <c r="G19">
        <v>1</v>
      </c>
      <c r="H19">
        <v>2</v>
      </c>
      <c r="I19" t="s">
        <v>216</v>
      </c>
      <c r="J19" t="s">
        <v>217</v>
      </c>
      <c r="K19" t="s">
        <v>218</v>
      </c>
      <c r="L19">
        <v>1368</v>
      </c>
      <c r="N19">
        <v>1011</v>
      </c>
      <c r="O19" t="s">
        <v>219</v>
      </c>
      <c r="P19" t="s">
        <v>219</v>
      </c>
      <c r="Q19">
        <v>1</v>
      </c>
      <c r="W19">
        <v>0</v>
      </c>
      <c r="X19">
        <v>-468861091</v>
      </c>
      <c r="Y19">
        <f t="shared" si="7"/>
        <v>0.03</v>
      </c>
      <c r="AA19">
        <v>0</v>
      </c>
      <c r="AB19">
        <v>1626.29</v>
      </c>
      <c r="AC19">
        <v>724.95</v>
      </c>
      <c r="AD19">
        <v>0</v>
      </c>
      <c r="AE19">
        <v>0</v>
      </c>
      <c r="AF19">
        <v>1626.29</v>
      </c>
      <c r="AG19">
        <v>724.95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0</v>
      </c>
      <c r="AP19">
        <v>1</v>
      </c>
      <c r="AQ19">
        <v>1</v>
      </c>
      <c r="AR19">
        <v>0</v>
      </c>
      <c r="AS19" t="s">
        <v>3</v>
      </c>
      <c r="AT19">
        <v>0.03</v>
      </c>
      <c r="AU19" t="s">
        <v>3</v>
      </c>
      <c r="AV19">
        <v>1</v>
      </c>
      <c r="AW19">
        <v>2</v>
      </c>
      <c r="AX19">
        <v>88041376</v>
      </c>
      <c r="AY19">
        <v>2</v>
      </c>
      <c r="AZ19">
        <v>98304</v>
      </c>
      <c r="BA19">
        <v>21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48.788699999999999</v>
      </c>
      <c r="BL19">
        <v>21.7485</v>
      </c>
      <c r="BM19">
        <v>0</v>
      </c>
      <c r="BN19">
        <v>0</v>
      </c>
      <c r="BO19">
        <v>0.03</v>
      </c>
      <c r="BP19">
        <v>1</v>
      </c>
      <c r="BQ19">
        <v>0</v>
      </c>
      <c r="BR19">
        <v>48.788699999999999</v>
      </c>
      <c r="BS19">
        <v>21.7485</v>
      </c>
      <c r="BT19">
        <v>0</v>
      </c>
      <c r="BU19">
        <v>0</v>
      </c>
      <c r="BV19">
        <v>0.03</v>
      </c>
      <c r="BW19">
        <v>1</v>
      </c>
      <c r="CV19">
        <v>0</v>
      </c>
      <c r="CW19">
        <f>ROUND(Y19*Source!I67*DO19,7)</f>
        <v>2.9999999999999997E-4</v>
      </c>
      <c r="CX19">
        <f>ROUND(Y19*Source!I67,7)</f>
        <v>2.9999999999999997E-4</v>
      </c>
      <c r="CY19">
        <f>AB19</f>
        <v>1626.29</v>
      </c>
      <c r="CZ19">
        <f>AF19</f>
        <v>1626.29</v>
      </c>
      <c r="DA19">
        <f>AJ19</f>
        <v>1</v>
      </c>
      <c r="DB19">
        <f t="shared" si="8"/>
        <v>48.79</v>
      </c>
      <c r="DC19">
        <f t="shared" si="9"/>
        <v>21.75</v>
      </c>
      <c r="DD19" t="s">
        <v>3</v>
      </c>
      <c r="DE19" t="s">
        <v>3</v>
      </c>
      <c r="DF19">
        <f t="shared" si="10"/>
        <v>0</v>
      </c>
      <c r="DG19">
        <f t="shared" si="6"/>
        <v>0.49</v>
      </c>
      <c r="DH19">
        <f t="shared" si="4"/>
        <v>0.22</v>
      </c>
      <c r="DI19">
        <f t="shared" si="5"/>
        <v>0</v>
      </c>
      <c r="DJ19">
        <f>DG19+DH19</f>
        <v>0.71</v>
      </c>
      <c r="DK19">
        <v>1</v>
      </c>
      <c r="DL19" t="s">
        <v>220</v>
      </c>
      <c r="DM19">
        <v>6</v>
      </c>
      <c r="DN19" t="s">
        <v>213</v>
      </c>
      <c r="DO19">
        <v>1</v>
      </c>
    </row>
    <row r="20" spans="1:119" x14ac:dyDescent="0.2">
      <c r="A20">
        <f>ROW(Source!A67)</f>
        <v>67</v>
      </c>
      <c r="B20">
        <v>88041693</v>
      </c>
      <c r="C20">
        <v>88041365</v>
      </c>
      <c r="D20">
        <v>82686499</v>
      </c>
      <c r="E20">
        <v>1</v>
      </c>
      <c r="F20">
        <v>1</v>
      </c>
      <c r="G20">
        <v>1</v>
      </c>
      <c r="H20">
        <v>2</v>
      </c>
      <c r="I20" t="s">
        <v>227</v>
      </c>
      <c r="J20" t="s">
        <v>228</v>
      </c>
      <c r="K20" t="s">
        <v>229</v>
      </c>
      <c r="L20">
        <v>1368</v>
      </c>
      <c r="N20">
        <v>1011</v>
      </c>
      <c r="O20" t="s">
        <v>219</v>
      </c>
      <c r="P20" t="s">
        <v>219</v>
      </c>
      <c r="Q20">
        <v>1</v>
      </c>
      <c r="W20">
        <v>0</v>
      </c>
      <c r="X20">
        <v>-1152394969</v>
      </c>
      <c r="Y20">
        <f t="shared" si="7"/>
        <v>0.03</v>
      </c>
      <c r="AA20">
        <v>0</v>
      </c>
      <c r="AB20">
        <v>641.70000000000005</v>
      </c>
      <c r="AC20">
        <v>539.69000000000005</v>
      </c>
      <c r="AD20">
        <v>0</v>
      </c>
      <c r="AE20">
        <v>0</v>
      </c>
      <c r="AF20">
        <v>641.70000000000005</v>
      </c>
      <c r="AG20">
        <v>539.69000000000005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-2</v>
      </c>
      <c r="AN20">
        <v>0</v>
      </c>
      <c r="AO20">
        <v>0</v>
      </c>
      <c r="AP20">
        <v>1</v>
      </c>
      <c r="AQ20">
        <v>1</v>
      </c>
      <c r="AR20">
        <v>0</v>
      </c>
      <c r="AS20" t="s">
        <v>3</v>
      </c>
      <c r="AT20">
        <v>0.03</v>
      </c>
      <c r="AU20" t="s">
        <v>3</v>
      </c>
      <c r="AV20">
        <v>1</v>
      </c>
      <c r="AW20">
        <v>2</v>
      </c>
      <c r="AX20">
        <v>88041377</v>
      </c>
      <c r="AY20">
        <v>2</v>
      </c>
      <c r="AZ20">
        <v>98304</v>
      </c>
      <c r="BA20">
        <v>22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19.251000000000001</v>
      </c>
      <c r="BL20">
        <v>16.1907</v>
      </c>
      <c r="BM20">
        <v>0</v>
      </c>
      <c r="BN20">
        <v>0</v>
      </c>
      <c r="BO20">
        <v>0.03</v>
      </c>
      <c r="BP20">
        <v>1</v>
      </c>
      <c r="BQ20">
        <v>0</v>
      </c>
      <c r="BR20">
        <v>19.251000000000001</v>
      </c>
      <c r="BS20">
        <v>16.1907</v>
      </c>
      <c r="BT20">
        <v>0</v>
      </c>
      <c r="BU20">
        <v>0</v>
      </c>
      <c r="BV20">
        <v>0.03</v>
      </c>
      <c r="BW20">
        <v>1</v>
      </c>
      <c r="CV20">
        <v>0</v>
      </c>
      <c r="CW20">
        <f>ROUND(Y20*Source!I67*DO20,7)</f>
        <v>2.9999999999999997E-4</v>
      </c>
      <c r="CX20">
        <f>ROUND(Y20*Source!I67,7)</f>
        <v>2.9999999999999997E-4</v>
      </c>
      <c r="CY20">
        <f>AB20</f>
        <v>641.70000000000005</v>
      </c>
      <c r="CZ20">
        <f>AF20</f>
        <v>641.70000000000005</v>
      </c>
      <c r="DA20">
        <f>AJ20</f>
        <v>1</v>
      </c>
      <c r="DB20">
        <f t="shared" si="8"/>
        <v>19.25</v>
      </c>
      <c r="DC20">
        <f t="shared" si="9"/>
        <v>16.190000000000001</v>
      </c>
      <c r="DD20" t="s">
        <v>3</v>
      </c>
      <c r="DE20" t="s">
        <v>3</v>
      </c>
      <c r="DF20">
        <f t="shared" si="10"/>
        <v>0</v>
      </c>
      <c r="DG20">
        <f t="shared" si="6"/>
        <v>0.19</v>
      </c>
      <c r="DH20">
        <f t="shared" si="4"/>
        <v>0.16</v>
      </c>
      <c r="DI20">
        <f t="shared" si="5"/>
        <v>0</v>
      </c>
      <c r="DJ20">
        <f>DG20+DH20</f>
        <v>0.35</v>
      </c>
      <c r="DK20">
        <v>1</v>
      </c>
      <c r="DL20" t="s">
        <v>230</v>
      </c>
      <c r="DM20">
        <v>4</v>
      </c>
      <c r="DN20" t="s">
        <v>213</v>
      </c>
      <c r="DO20">
        <v>1</v>
      </c>
    </row>
    <row r="21" spans="1:119" x14ac:dyDescent="0.2">
      <c r="A21">
        <f>ROW(Source!A67)</f>
        <v>67</v>
      </c>
      <c r="B21">
        <v>88041693</v>
      </c>
      <c r="C21">
        <v>88041365</v>
      </c>
      <c r="D21">
        <v>82632698</v>
      </c>
      <c r="E21">
        <v>1</v>
      </c>
      <c r="F21">
        <v>1</v>
      </c>
      <c r="G21">
        <v>1</v>
      </c>
      <c r="H21">
        <v>3</v>
      </c>
      <c r="I21" t="s">
        <v>252</v>
      </c>
      <c r="J21" t="s">
        <v>253</v>
      </c>
      <c r="K21" t="s">
        <v>254</v>
      </c>
      <c r="L21">
        <v>1383</v>
      </c>
      <c r="N21">
        <v>1013</v>
      </c>
      <c r="O21" t="s">
        <v>255</v>
      </c>
      <c r="P21" t="s">
        <v>255</v>
      </c>
      <c r="Q21">
        <v>1</v>
      </c>
      <c r="W21">
        <v>0</v>
      </c>
      <c r="X21">
        <v>-2119218604</v>
      </c>
      <c r="Y21">
        <f t="shared" si="7"/>
        <v>6.6559999999999997</v>
      </c>
      <c r="AA21">
        <v>7.32</v>
      </c>
      <c r="AB21">
        <v>0</v>
      </c>
      <c r="AC21">
        <v>0</v>
      </c>
      <c r="AD21">
        <v>0</v>
      </c>
      <c r="AE21">
        <v>7.32</v>
      </c>
      <c r="AF21">
        <v>0</v>
      </c>
      <c r="AG21">
        <v>0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-2</v>
      </c>
      <c r="AN21">
        <v>0</v>
      </c>
      <c r="AO21">
        <v>0</v>
      </c>
      <c r="AP21">
        <v>1</v>
      </c>
      <c r="AQ21">
        <v>1</v>
      </c>
      <c r="AR21">
        <v>0</v>
      </c>
      <c r="AS21" t="s">
        <v>3</v>
      </c>
      <c r="AT21">
        <v>6.6559999999999997</v>
      </c>
      <c r="AU21" t="s">
        <v>3</v>
      </c>
      <c r="AV21">
        <v>0</v>
      </c>
      <c r="AW21">
        <v>2</v>
      </c>
      <c r="AX21">
        <v>88041378</v>
      </c>
      <c r="AY21">
        <v>2</v>
      </c>
      <c r="AZ21">
        <v>16384</v>
      </c>
      <c r="BA21">
        <v>23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48.721919999999997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48.721919999999997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1</v>
      </c>
      <c r="CV21">
        <v>0</v>
      </c>
      <c r="CW21">
        <v>0</v>
      </c>
      <c r="CX21">
        <f>ROUND(Y21*Source!I67,7)</f>
        <v>6.6559999999999994E-2</v>
      </c>
      <c r="CY21">
        <f>AA21</f>
        <v>7.32</v>
      </c>
      <c r="CZ21">
        <f>AE21</f>
        <v>7.32</v>
      </c>
      <c r="DA21">
        <f>AI21</f>
        <v>1</v>
      </c>
      <c r="DB21">
        <f t="shared" si="8"/>
        <v>48.72</v>
      </c>
      <c r="DC21">
        <f t="shared" si="9"/>
        <v>0</v>
      </c>
      <c r="DD21" t="s">
        <v>3</v>
      </c>
      <c r="DE21" t="s">
        <v>3</v>
      </c>
      <c r="DF21">
        <f t="shared" si="10"/>
        <v>0.49</v>
      </c>
      <c r="DG21">
        <f t="shared" si="6"/>
        <v>0</v>
      </c>
      <c r="DH21">
        <f t="shared" si="4"/>
        <v>0</v>
      </c>
      <c r="DI21">
        <f t="shared" si="5"/>
        <v>0</v>
      </c>
      <c r="DJ21">
        <f>DF21</f>
        <v>0.49</v>
      </c>
      <c r="DK21">
        <v>1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ROW(Source!A67)</f>
        <v>67</v>
      </c>
      <c r="B22">
        <v>88041693</v>
      </c>
      <c r="C22">
        <v>88041365</v>
      </c>
      <c r="D22">
        <v>82634244</v>
      </c>
      <c r="E22">
        <v>1</v>
      </c>
      <c r="F22">
        <v>1</v>
      </c>
      <c r="G22">
        <v>1</v>
      </c>
      <c r="H22">
        <v>3</v>
      </c>
      <c r="I22" t="s">
        <v>256</v>
      </c>
      <c r="J22" t="s">
        <v>257</v>
      </c>
      <c r="K22" t="s">
        <v>258</v>
      </c>
      <c r="L22">
        <v>1425</v>
      </c>
      <c r="N22">
        <v>1013</v>
      </c>
      <c r="O22" t="s">
        <v>95</v>
      </c>
      <c r="P22" t="s">
        <v>95</v>
      </c>
      <c r="Q22">
        <v>1</v>
      </c>
      <c r="W22">
        <v>0</v>
      </c>
      <c r="X22">
        <v>-145062553</v>
      </c>
      <c r="Y22">
        <f t="shared" si="7"/>
        <v>2.04</v>
      </c>
      <c r="AA22">
        <v>53.81</v>
      </c>
      <c r="AB22">
        <v>0</v>
      </c>
      <c r="AC22">
        <v>0</v>
      </c>
      <c r="AD22">
        <v>0</v>
      </c>
      <c r="AE22">
        <v>41.71</v>
      </c>
      <c r="AF22">
        <v>0</v>
      </c>
      <c r="AG22">
        <v>0</v>
      </c>
      <c r="AH22">
        <v>0</v>
      </c>
      <c r="AI22">
        <v>1.29</v>
      </c>
      <c r="AJ22">
        <v>1</v>
      </c>
      <c r="AK22">
        <v>1</v>
      </c>
      <c r="AL22">
        <v>1</v>
      </c>
      <c r="AM22">
        <v>2</v>
      </c>
      <c r="AN22">
        <v>0</v>
      </c>
      <c r="AO22">
        <v>0</v>
      </c>
      <c r="AP22">
        <v>1</v>
      </c>
      <c r="AQ22">
        <v>1</v>
      </c>
      <c r="AR22">
        <v>0</v>
      </c>
      <c r="AS22" t="s">
        <v>3</v>
      </c>
      <c r="AT22">
        <v>2.04</v>
      </c>
      <c r="AU22" t="s">
        <v>3</v>
      </c>
      <c r="AV22">
        <v>0</v>
      </c>
      <c r="AW22">
        <v>2</v>
      </c>
      <c r="AX22">
        <v>88041379</v>
      </c>
      <c r="AY22">
        <v>1</v>
      </c>
      <c r="AZ22">
        <v>0</v>
      </c>
      <c r="BA22">
        <v>24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85.088400000000007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85.088400000000007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1</v>
      </c>
      <c r="CV22">
        <v>0</v>
      </c>
      <c r="CW22">
        <v>0</v>
      </c>
      <c r="CX22">
        <f>ROUND(Y22*Source!I67,7)</f>
        <v>2.0400000000000001E-2</v>
      </c>
      <c r="CY22">
        <f>AA22</f>
        <v>53.81</v>
      </c>
      <c r="CZ22">
        <f>AE22</f>
        <v>41.71</v>
      </c>
      <c r="DA22">
        <f>AI22</f>
        <v>1.29</v>
      </c>
      <c r="DB22">
        <f t="shared" si="8"/>
        <v>85.09</v>
      </c>
      <c r="DC22">
        <f t="shared" si="9"/>
        <v>0</v>
      </c>
      <c r="DD22" t="s">
        <v>3</v>
      </c>
      <c r="DE22" t="s">
        <v>3</v>
      </c>
      <c r="DF22">
        <f>ROUND(ROUND(AE22*AI22,2)*CX22,2)</f>
        <v>1.1000000000000001</v>
      </c>
      <c r="DG22">
        <f t="shared" si="6"/>
        <v>0</v>
      </c>
      <c r="DH22">
        <f t="shared" si="4"/>
        <v>0</v>
      </c>
      <c r="DI22">
        <f t="shared" si="5"/>
        <v>0</v>
      </c>
      <c r="DJ22">
        <f>DF22</f>
        <v>1.1000000000000001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ROW(Source!A67)</f>
        <v>67</v>
      </c>
      <c r="B23">
        <v>88041693</v>
      </c>
      <c r="C23">
        <v>88041365</v>
      </c>
      <c r="D23">
        <v>82634495</v>
      </c>
      <c r="E23">
        <v>1</v>
      </c>
      <c r="F23">
        <v>1</v>
      </c>
      <c r="G23">
        <v>1</v>
      </c>
      <c r="H23">
        <v>3</v>
      </c>
      <c r="I23" t="s">
        <v>259</v>
      </c>
      <c r="J23" t="s">
        <v>260</v>
      </c>
      <c r="K23" t="s">
        <v>261</v>
      </c>
      <c r="L23">
        <v>1425</v>
      </c>
      <c r="N23">
        <v>1013</v>
      </c>
      <c r="O23" t="s">
        <v>95</v>
      </c>
      <c r="P23" t="s">
        <v>95</v>
      </c>
      <c r="Q23">
        <v>1</v>
      </c>
      <c r="W23">
        <v>0</v>
      </c>
      <c r="X23">
        <v>1794856044</v>
      </c>
      <c r="Y23">
        <f t="shared" si="7"/>
        <v>2.04</v>
      </c>
      <c r="AA23">
        <v>23.92</v>
      </c>
      <c r="AB23">
        <v>0</v>
      </c>
      <c r="AC23">
        <v>0</v>
      </c>
      <c r="AD23">
        <v>0</v>
      </c>
      <c r="AE23">
        <v>18.54</v>
      </c>
      <c r="AF23">
        <v>0</v>
      </c>
      <c r="AG23">
        <v>0</v>
      </c>
      <c r="AH23">
        <v>0</v>
      </c>
      <c r="AI23">
        <v>1.29</v>
      </c>
      <c r="AJ23">
        <v>1</v>
      </c>
      <c r="AK23">
        <v>1</v>
      </c>
      <c r="AL23">
        <v>1</v>
      </c>
      <c r="AM23">
        <v>2</v>
      </c>
      <c r="AN23">
        <v>0</v>
      </c>
      <c r="AO23">
        <v>0</v>
      </c>
      <c r="AP23">
        <v>1</v>
      </c>
      <c r="AQ23">
        <v>1</v>
      </c>
      <c r="AR23">
        <v>0</v>
      </c>
      <c r="AS23" t="s">
        <v>3</v>
      </c>
      <c r="AT23">
        <v>2.04</v>
      </c>
      <c r="AU23" t="s">
        <v>3</v>
      </c>
      <c r="AV23">
        <v>0</v>
      </c>
      <c r="AW23">
        <v>2</v>
      </c>
      <c r="AX23">
        <v>88041380</v>
      </c>
      <c r="AY23">
        <v>1</v>
      </c>
      <c r="AZ23">
        <v>0</v>
      </c>
      <c r="BA23">
        <v>25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37.821599999999997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37.821599999999997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1</v>
      </c>
      <c r="CV23">
        <v>0</v>
      </c>
      <c r="CW23">
        <v>0</v>
      </c>
      <c r="CX23">
        <f>ROUND(Y23*Source!I67,7)</f>
        <v>2.0400000000000001E-2</v>
      </c>
      <c r="CY23">
        <f>AA23</f>
        <v>23.92</v>
      </c>
      <c r="CZ23">
        <f>AE23</f>
        <v>18.54</v>
      </c>
      <c r="DA23">
        <f>AI23</f>
        <v>1.29</v>
      </c>
      <c r="DB23">
        <f t="shared" si="8"/>
        <v>37.82</v>
      </c>
      <c r="DC23">
        <f t="shared" si="9"/>
        <v>0</v>
      </c>
      <c r="DD23" t="s">
        <v>3</v>
      </c>
      <c r="DE23" t="s">
        <v>3</v>
      </c>
      <c r="DF23">
        <f>ROUND(ROUND(AE23*AI23,2)*CX23,2)</f>
        <v>0.49</v>
      </c>
      <c r="DG23">
        <f t="shared" si="6"/>
        <v>0</v>
      </c>
      <c r="DH23">
        <f t="shared" si="4"/>
        <v>0</v>
      </c>
      <c r="DI23">
        <f t="shared" si="5"/>
        <v>0</v>
      </c>
      <c r="DJ23">
        <f>DF23</f>
        <v>0.49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ROW(Source!A103)</f>
        <v>103</v>
      </c>
      <c r="B24">
        <v>88041693</v>
      </c>
      <c r="C24">
        <v>88041383</v>
      </c>
      <c r="D24">
        <v>82561135</v>
      </c>
      <c r="E24">
        <v>114</v>
      </c>
      <c r="F24">
        <v>1</v>
      </c>
      <c r="G24">
        <v>1</v>
      </c>
      <c r="H24">
        <v>1</v>
      </c>
      <c r="I24" t="s">
        <v>262</v>
      </c>
      <c r="J24" t="s">
        <v>3</v>
      </c>
      <c r="K24" t="s">
        <v>263</v>
      </c>
      <c r="L24">
        <v>1369</v>
      </c>
      <c r="N24">
        <v>1013</v>
      </c>
      <c r="O24" t="s">
        <v>264</v>
      </c>
      <c r="P24" t="s">
        <v>264</v>
      </c>
      <c r="Q24">
        <v>1</v>
      </c>
      <c r="W24">
        <v>0</v>
      </c>
      <c r="X24">
        <v>286205319</v>
      </c>
      <c r="Y24">
        <f t="shared" si="7"/>
        <v>6.48</v>
      </c>
      <c r="AA24">
        <v>0</v>
      </c>
      <c r="AB24">
        <v>0</v>
      </c>
      <c r="AC24">
        <v>0</v>
      </c>
      <c r="AD24">
        <v>724.95</v>
      </c>
      <c r="AE24">
        <v>0</v>
      </c>
      <c r="AF24">
        <v>0</v>
      </c>
      <c r="AG24">
        <v>0</v>
      </c>
      <c r="AH24">
        <v>724.95</v>
      </c>
      <c r="AI24">
        <v>1</v>
      </c>
      <c r="AJ24">
        <v>1</v>
      </c>
      <c r="AK24">
        <v>1</v>
      </c>
      <c r="AL24">
        <v>1</v>
      </c>
      <c r="AM24">
        <v>-2</v>
      </c>
      <c r="AN24">
        <v>0</v>
      </c>
      <c r="AO24">
        <v>0</v>
      </c>
      <c r="AP24">
        <v>1</v>
      </c>
      <c r="AQ24">
        <v>1</v>
      </c>
      <c r="AR24">
        <v>0</v>
      </c>
      <c r="AS24" t="s">
        <v>3</v>
      </c>
      <c r="AT24">
        <v>6.48</v>
      </c>
      <c r="AU24" t="s">
        <v>3</v>
      </c>
      <c r="AV24">
        <v>1</v>
      </c>
      <c r="AW24">
        <v>2</v>
      </c>
      <c r="AX24">
        <v>88041386</v>
      </c>
      <c r="AY24">
        <v>2</v>
      </c>
      <c r="AZ24">
        <v>131072</v>
      </c>
      <c r="BA24">
        <v>27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4697.6760000000004</v>
      </c>
      <c r="BN24">
        <v>6.48</v>
      </c>
      <c r="BO24">
        <v>0</v>
      </c>
      <c r="BP24">
        <v>1</v>
      </c>
      <c r="BQ24">
        <v>0</v>
      </c>
      <c r="BR24">
        <v>0</v>
      </c>
      <c r="BS24">
        <v>0</v>
      </c>
      <c r="BT24">
        <v>4697.6760000000004</v>
      </c>
      <c r="BU24">
        <v>6.48</v>
      </c>
      <c r="BV24">
        <v>0</v>
      </c>
      <c r="BW24">
        <v>1</v>
      </c>
      <c r="CU24">
        <f>ROUND(AT24*Source!I103*AH24*AL24,2)</f>
        <v>46.98</v>
      </c>
      <c r="CV24">
        <f>ROUND(Y24*Source!I103,7)</f>
        <v>6.4799999999999996E-2</v>
      </c>
      <c r="CW24">
        <v>0</v>
      </c>
      <c r="CX24">
        <f>ROUND(Y24*Source!I103,7)</f>
        <v>6.4799999999999996E-2</v>
      </c>
      <c r="CY24">
        <f t="shared" ref="CY24:CY31" si="11">AD24</f>
        <v>724.95</v>
      </c>
      <c r="CZ24">
        <f t="shared" ref="CZ24:CZ31" si="12">AH24</f>
        <v>724.95</v>
      </c>
      <c r="DA24">
        <f t="shared" ref="DA24:DA31" si="13">AL24</f>
        <v>1</v>
      </c>
      <c r="DB24">
        <f t="shared" si="8"/>
        <v>4697.68</v>
      </c>
      <c r="DC24">
        <f t="shared" si="9"/>
        <v>0</v>
      </c>
      <c r="DD24" t="s">
        <v>3</v>
      </c>
      <c r="DE24" t="s">
        <v>3</v>
      </c>
      <c r="DF24">
        <f t="shared" ref="DF24:DF31" si="14">ROUND(ROUND(AE24,2)*CX24,2)</f>
        <v>0</v>
      </c>
      <c r="DG24">
        <f t="shared" si="6"/>
        <v>0</v>
      </c>
      <c r="DH24">
        <f t="shared" si="4"/>
        <v>0</v>
      </c>
      <c r="DI24">
        <f t="shared" si="5"/>
        <v>46.98</v>
      </c>
      <c r="DJ24">
        <f t="shared" ref="DJ24:DJ31" si="15">DI24</f>
        <v>46.98</v>
      </c>
      <c r="DK24">
        <v>1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ROW(Source!A103)</f>
        <v>103</v>
      </c>
      <c r="B25">
        <v>88041693</v>
      </c>
      <c r="C25">
        <v>88041383</v>
      </c>
      <c r="D25">
        <v>82561159</v>
      </c>
      <c r="E25">
        <v>114</v>
      </c>
      <c r="F25">
        <v>1</v>
      </c>
      <c r="G25">
        <v>1</v>
      </c>
      <c r="H25">
        <v>1</v>
      </c>
      <c r="I25" t="s">
        <v>265</v>
      </c>
      <c r="J25" t="s">
        <v>3</v>
      </c>
      <c r="K25" t="s">
        <v>266</v>
      </c>
      <c r="L25">
        <v>1369</v>
      </c>
      <c r="N25">
        <v>1013</v>
      </c>
      <c r="O25" t="s">
        <v>264</v>
      </c>
      <c r="P25" t="s">
        <v>264</v>
      </c>
      <c r="Q25">
        <v>1</v>
      </c>
      <c r="W25">
        <v>0</v>
      </c>
      <c r="X25">
        <v>126826561</v>
      </c>
      <c r="Y25">
        <f t="shared" si="7"/>
        <v>6.48</v>
      </c>
      <c r="AA25">
        <v>0</v>
      </c>
      <c r="AB25">
        <v>0</v>
      </c>
      <c r="AC25">
        <v>0</v>
      </c>
      <c r="AD25">
        <v>708.84</v>
      </c>
      <c r="AE25">
        <v>0</v>
      </c>
      <c r="AF25">
        <v>0</v>
      </c>
      <c r="AG25">
        <v>0</v>
      </c>
      <c r="AH25">
        <v>708.84</v>
      </c>
      <c r="AI25">
        <v>1</v>
      </c>
      <c r="AJ25">
        <v>1</v>
      </c>
      <c r="AK25">
        <v>1</v>
      </c>
      <c r="AL25">
        <v>1</v>
      </c>
      <c r="AM25">
        <v>-2</v>
      </c>
      <c r="AN25">
        <v>0</v>
      </c>
      <c r="AO25">
        <v>0</v>
      </c>
      <c r="AP25">
        <v>1</v>
      </c>
      <c r="AQ25">
        <v>1</v>
      </c>
      <c r="AR25">
        <v>0</v>
      </c>
      <c r="AS25" t="s">
        <v>3</v>
      </c>
      <c r="AT25">
        <v>6.48</v>
      </c>
      <c r="AU25" t="s">
        <v>3</v>
      </c>
      <c r="AV25">
        <v>1</v>
      </c>
      <c r="AW25">
        <v>2</v>
      </c>
      <c r="AX25">
        <v>88041387</v>
      </c>
      <c r="AY25">
        <v>2</v>
      </c>
      <c r="AZ25">
        <v>131072</v>
      </c>
      <c r="BA25">
        <v>28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4593.2832000000008</v>
      </c>
      <c r="BN25">
        <v>6.48</v>
      </c>
      <c r="BO25">
        <v>0</v>
      </c>
      <c r="BP25">
        <v>1</v>
      </c>
      <c r="BQ25">
        <v>0</v>
      </c>
      <c r="BR25">
        <v>0</v>
      </c>
      <c r="BS25">
        <v>0</v>
      </c>
      <c r="BT25">
        <v>4593.2832000000008</v>
      </c>
      <c r="BU25">
        <v>6.48</v>
      </c>
      <c r="BV25">
        <v>0</v>
      </c>
      <c r="BW25">
        <v>1</v>
      </c>
      <c r="CU25">
        <f>ROUND(AT25*Source!I103*AH25*AL25,2)</f>
        <v>45.93</v>
      </c>
      <c r="CV25">
        <f>ROUND(Y25*Source!I103,7)</f>
        <v>6.4799999999999996E-2</v>
      </c>
      <c r="CW25">
        <v>0</v>
      </c>
      <c r="CX25">
        <f>ROUND(Y25*Source!I103,7)</f>
        <v>6.4799999999999996E-2</v>
      </c>
      <c r="CY25">
        <f t="shared" si="11"/>
        <v>708.84</v>
      </c>
      <c r="CZ25">
        <f t="shared" si="12"/>
        <v>708.84</v>
      </c>
      <c r="DA25">
        <f t="shared" si="13"/>
        <v>1</v>
      </c>
      <c r="DB25">
        <f t="shared" si="8"/>
        <v>4593.28</v>
      </c>
      <c r="DC25">
        <f t="shared" si="9"/>
        <v>0</v>
      </c>
      <c r="DD25" t="s">
        <v>3</v>
      </c>
      <c r="DE25" t="s">
        <v>3</v>
      </c>
      <c r="DF25">
        <f t="shared" si="14"/>
        <v>0</v>
      </c>
      <c r="DG25">
        <f t="shared" si="6"/>
        <v>0</v>
      </c>
      <c r="DH25">
        <f t="shared" si="4"/>
        <v>0</v>
      </c>
      <c r="DI25">
        <f t="shared" si="5"/>
        <v>45.93</v>
      </c>
      <c r="DJ25">
        <f t="shared" si="15"/>
        <v>45.93</v>
      </c>
      <c r="DK25">
        <v>1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ROW(Source!A104)</f>
        <v>104</v>
      </c>
      <c r="B26">
        <v>88041693</v>
      </c>
      <c r="C26">
        <v>88041388</v>
      </c>
      <c r="D26">
        <v>82561131</v>
      </c>
      <c r="E26">
        <v>114</v>
      </c>
      <c r="F26">
        <v>1</v>
      </c>
      <c r="G26">
        <v>1</v>
      </c>
      <c r="H26">
        <v>1</v>
      </c>
      <c r="I26" t="s">
        <v>267</v>
      </c>
      <c r="J26" t="s">
        <v>3</v>
      </c>
      <c r="K26" t="s">
        <v>268</v>
      </c>
      <c r="L26">
        <v>1369</v>
      </c>
      <c r="N26">
        <v>1013</v>
      </c>
      <c r="O26" t="s">
        <v>264</v>
      </c>
      <c r="P26" t="s">
        <v>264</v>
      </c>
      <c r="Q26">
        <v>1</v>
      </c>
      <c r="W26">
        <v>0</v>
      </c>
      <c r="X26">
        <v>-512803540</v>
      </c>
      <c r="Y26">
        <f t="shared" si="7"/>
        <v>1.94</v>
      </c>
      <c r="AA26">
        <v>0</v>
      </c>
      <c r="AB26">
        <v>0</v>
      </c>
      <c r="AC26">
        <v>0</v>
      </c>
      <c r="AD26">
        <v>539.69000000000005</v>
      </c>
      <c r="AE26">
        <v>0</v>
      </c>
      <c r="AF26">
        <v>0</v>
      </c>
      <c r="AG26">
        <v>0</v>
      </c>
      <c r="AH26">
        <v>539.69000000000005</v>
      </c>
      <c r="AI26">
        <v>1</v>
      </c>
      <c r="AJ26">
        <v>1</v>
      </c>
      <c r="AK26">
        <v>1</v>
      </c>
      <c r="AL26">
        <v>1</v>
      </c>
      <c r="AM26">
        <v>-2</v>
      </c>
      <c r="AN26">
        <v>0</v>
      </c>
      <c r="AO26">
        <v>0</v>
      </c>
      <c r="AP26">
        <v>1</v>
      </c>
      <c r="AQ26">
        <v>1</v>
      </c>
      <c r="AR26">
        <v>0</v>
      </c>
      <c r="AS26" t="s">
        <v>3</v>
      </c>
      <c r="AT26">
        <v>1.94</v>
      </c>
      <c r="AU26" t="s">
        <v>3</v>
      </c>
      <c r="AV26">
        <v>1</v>
      </c>
      <c r="AW26">
        <v>2</v>
      </c>
      <c r="AX26">
        <v>88041391</v>
      </c>
      <c r="AY26">
        <v>2</v>
      </c>
      <c r="AZ26">
        <v>131072</v>
      </c>
      <c r="BA26">
        <v>29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1046.9986000000001</v>
      </c>
      <c r="BN26">
        <v>1.94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1046.9986000000001</v>
      </c>
      <c r="BU26">
        <v>1.94</v>
      </c>
      <c r="BV26">
        <v>0</v>
      </c>
      <c r="BW26">
        <v>1</v>
      </c>
      <c r="CU26">
        <f>ROUND(AT26*Source!I104*AH26*AL26,2)</f>
        <v>1047</v>
      </c>
      <c r="CV26">
        <f>ROUND(Y26*Source!I104,7)</f>
        <v>1.94</v>
      </c>
      <c r="CW26">
        <v>0</v>
      </c>
      <c r="CX26">
        <f>ROUND(Y26*Source!I104,7)</f>
        <v>1.94</v>
      </c>
      <c r="CY26">
        <f t="shared" si="11"/>
        <v>539.69000000000005</v>
      </c>
      <c r="CZ26">
        <f t="shared" si="12"/>
        <v>539.69000000000005</v>
      </c>
      <c r="DA26">
        <f t="shared" si="13"/>
        <v>1</v>
      </c>
      <c r="DB26">
        <f t="shared" si="8"/>
        <v>1047</v>
      </c>
      <c r="DC26">
        <f t="shared" si="9"/>
        <v>0</v>
      </c>
      <c r="DD26" t="s">
        <v>3</v>
      </c>
      <c r="DE26" t="s">
        <v>3</v>
      </c>
      <c r="DF26">
        <f t="shared" si="14"/>
        <v>0</v>
      </c>
      <c r="DG26">
        <f t="shared" si="6"/>
        <v>0</v>
      </c>
      <c r="DH26">
        <f t="shared" si="4"/>
        <v>0</v>
      </c>
      <c r="DI26">
        <f t="shared" si="5"/>
        <v>1047</v>
      </c>
      <c r="DJ26">
        <f t="shared" si="15"/>
        <v>1047</v>
      </c>
      <c r="DK26">
        <v>1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ROW(Source!A104)</f>
        <v>104</v>
      </c>
      <c r="B27">
        <v>88041693</v>
      </c>
      <c r="C27">
        <v>88041388</v>
      </c>
      <c r="D27">
        <v>82561159</v>
      </c>
      <c r="E27">
        <v>114</v>
      </c>
      <c r="F27">
        <v>1</v>
      </c>
      <c r="G27">
        <v>1</v>
      </c>
      <c r="H27">
        <v>1</v>
      </c>
      <c r="I27" t="s">
        <v>265</v>
      </c>
      <c r="J27" t="s">
        <v>3</v>
      </c>
      <c r="K27" t="s">
        <v>266</v>
      </c>
      <c r="L27">
        <v>1369</v>
      </c>
      <c r="N27">
        <v>1013</v>
      </c>
      <c r="O27" t="s">
        <v>264</v>
      </c>
      <c r="P27" t="s">
        <v>264</v>
      </c>
      <c r="Q27">
        <v>1</v>
      </c>
      <c r="W27">
        <v>0</v>
      </c>
      <c r="X27">
        <v>126826561</v>
      </c>
      <c r="Y27">
        <f t="shared" si="7"/>
        <v>2.92</v>
      </c>
      <c r="AA27">
        <v>0</v>
      </c>
      <c r="AB27">
        <v>0</v>
      </c>
      <c r="AC27">
        <v>0</v>
      </c>
      <c r="AD27">
        <v>708.84</v>
      </c>
      <c r="AE27">
        <v>0</v>
      </c>
      <c r="AF27">
        <v>0</v>
      </c>
      <c r="AG27">
        <v>0</v>
      </c>
      <c r="AH27">
        <v>708.84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0</v>
      </c>
      <c r="AP27">
        <v>1</v>
      </c>
      <c r="AQ27">
        <v>1</v>
      </c>
      <c r="AR27">
        <v>0</v>
      </c>
      <c r="AS27" t="s">
        <v>3</v>
      </c>
      <c r="AT27">
        <v>2.92</v>
      </c>
      <c r="AU27" t="s">
        <v>3</v>
      </c>
      <c r="AV27">
        <v>1</v>
      </c>
      <c r="AW27">
        <v>2</v>
      </c>
      <c r="AX27">
        <v>88041392</v>
      </c>
      <c r="AY27">
        <v>2</v>
      </c>
      <c r="AZ27">
        <v>131072</v>
      </c>
      <c r="BA27">
        <v>30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2069.8128000000002</v>
      </c>
      <c r="BN27">
        <v>2.92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2069.8128000000002</v>
      </c>
      <c r="BU27">
        <v>2.92</v>
      </c>
      <c r="BV27">
        <v>0</v>
      </c>
      <c r="BW27">
        <v>1</v>
      </c>
      <c r="CU27">
        <f>ROUND(AT27*Source!I104*AH27*AL27,2)</f>
        <v>2069.81</v>
      </c>
      <c r="CV27">
        <f>ROUND(Y27*Source!I104,7)</f>
        <v>2.92</v>
      </c>
      <c r="CW27">
        <v>0</v>
      </c>
      <c r="CX27">
        <f>ROUND(Y27*Source!I104,7)</f>
        <v>2.92</v>
      </c>
      <c r="CY27">
        <f t="shared" si="11"/>
        <v>708.84</v>
      </c>
      <c r="CZ27">
        <f t="shared" si="12"/>
        <v>708.84</v>
      </c>
      <c r="DA27">
        <f t="shared" si="13"/>
        <v>1</v>
      </c>
      <c r="DB27">
        <f t="shared" si="8"/>
        <v>2069.81</v>
      </c>
      <c r="DC27">
        <f t="shared" si="9"/>
        <v>0</v>
      </c>
      <c r="DD27" t="s">
        <v>3</v>
      </c>
      <c r="DE27" t="s">
        <v>3</v>
      </c>
      <c r="DF27">
        <f t="shared" si="14"/>
        <v>0</v>
      </c>
      <c r="DG27">
        <f t="shared" si="6"/>
        <v>0</v>
      </c>
      <c r="DH27">
        <f t="shared" si="4"/>
        <v>0</v>
      </c>
      <c r="DI27">
        <f t="shared" si="5"/>
        <v>2069.81</v>
      </c>
      <c r="DJ27">
        <f t="shared" si="15"/>
        <v>2069.81</v>
      </c>
      <c r="DK27">
        <v>1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ROW(Source!A105)</f>
        <v>105</v>
      </c>
      <c r="B28">
        <v>88041693</v>
      </c>
      <c r="C28">
        <v>88041393</v>
      </c>
      <c r="D28">
        <v>82561135</v>
      </c>
      <c r="E28">
        <v>114</v>
      </c>
      <c r="F28">
        <v>1</v>
      </c>
      <c r="G28">
        <v>1</v>
      </c>
      <c r="H28">
        <v>1</v>
      </c>
      <c r="I28" t="s">
        <v>262</v>
      </c>
      <c r="J28" t="s">
        <v>3</v>
      </c>
      <c r="K28" t="s">
        <v>263</v>
      </c>
      <c r="L28">
        <v>1369</v>
      </c>
      <c r="N28">
        <v>1013</v>
      </c>
      <c r="O28" t="s">
        <v>264</v>
      </c>
      <c r="P28" t="s">
        <v>264</v>
      </c>
      <c r="Q28">
        <v>1</v>
      </c>
      <c r="W28">
        <v>0</v>
      </c>
      <c r="X28">
        <v>286205319</v>
      </c>
      <c r="Y28">
        <f t="shared" si="7"/>
        <v>0.81</v>
      </c>
      <c r="AA28">
        <v>0</v>
      </c>
      <c r="AB28">
        <v>0</v>
      </c>
      <c r="AC28">
        <v>0</v>
      </c>
      <c r="AD28">
        <v>724.95</v>
      </c>
      <c r="AE28">
        <v>0</v>
      </c>
      <c r="AF28">
        <v>0</v>
      </c>
      <c r="AG28">
        <v>0</v>
      </c>
      <c r="AH28">
        <v>724.95</v>
      </c>
      <c r="AI28">
        <v>1</v>
      </c>
      <c r="AJ28">
        <v>1</v>
      </c>
      <c r="AK28">
        <v>1</v>
      </c>
      <c r="AL28">
        <v>1</v>
      </c>
      <c r="AM28">
        <v>-2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3</v>
      </c>
      <c r="AT28">
        <v>0.81</v>
      </c>
      <c r="AU28" t="s">
        <v>3</v>
      </c>
      <c r="AV28">
        <v>1</v>
      </c>
      <c r="AW28">
        <v>2</v>
      </c>
      <c r="AX28">
        <v>88041396</v>
      </c>
      <c r="AY28">
        <v>2</v>
      </c>
      <c r="AZ28">
        <v>131072</v>
      </c>
      <c r="BA28">
        <v>31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587.20950000000005</v>
      </c>
      <c r="BN28">
        <v>0.81</v>
      </c>
      <c r="BO28">
        <v>0</v>
      </c>
      <c r="BP28">
        <v>1</v>
      </c>
      <c r="BQ28">
        <v>0</v>
      </c>
      <c r="BR28">
        <v>0</v>
      </c>
      <c r="BS28">
        <v>0</v>
      </c>
      <c r="BT28">
        <v>587.20950000000005</v>
      </c>
      <c r="BU28">
        <v>0.81</v>
      </c>
      <c r="BV28">
        <v>0</v>
      </c>
      <c r="BW28">
        <v>1</v>
      </c>
      <c r="CU28">
        <f>ROUND(AT28*Source!I105*AH28*AL28,2)</f>
        <v>1761.63</v>
      </c>
      <c r="CV28">
        <f>ROUND(Y28*Source!I105,7)</f>
        <v>2.4300000000000002</v>
      </c>
      <c r="CW28">
        <v>0</v>
      </c>
      <c r="CX28">
        <f>ROUND(Y28*Source!I105,7)</f>
        <v>2.4300000000000002</v>
      </c>
      <c r="CY28">
        <f t="shared" si="11"/>
        <v>724.95</v>
      </c>
      <c r="CZ28">
        <f t="shared" si="12"/>
        <v>724.95</v>
      </c>
      <c r="DA28">
        <f t="shared" si="13"/>
        <v>1</v>
      </c>
      <c r="DB28">
        <f t="shared" si="8"/>
        <v>587.21</v>
      </c>
      <c r="DC28">
        <f t="shared" si="9"/>
        <v>0</v>
      </c>
      <c r="DD28" t="s">
        <v>3</v>
      </c>
      <c r="DE28" t="s">
        <v>3</v>
      </c>
      <c r="DF28">
        <f t="shared" si="14"/>
        <v>0</v>
      </c>
      <c r="DG28">
        <f t="shared" si="6"/>
        <v>0</v>
      </c>
      <c r="DH28">
        <f t="shared" si="4"/>
        <v>0</v>
      </c>
      <c r="DI28">
        <f t="shared" si="5"/>
        <v>1761.63</v>
      </c>
      <c r="DJ28">
        <f t="shared" si="15"/>
        <v>1761.63</v>
      </c>
      <c r="DK28">
        <v>1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ROW(Source!A105)</f>
        <v>105</v>
      </c>
      <c r="B29">
        <v>88041693</v>
      </c>
      <c r="C29">
        <v>88041393</v>
      </c>
      <c r="D29">
        <v>82561159</v>
      </c>
      <c r="E29">
        <v>114</v>
      </c>
      <c r="F29">
        <v>1</v>
      </c>
      <c r="G29">
        <v>1</v>
      </c>
      <c r="H29">
        <v>1</v>
      </c>
      <c r="I29" t="s">
        <v>265</v>
      </c>
      <c r="J29" t="s">
        <v>3</v>
      </c>
      <c r="K29" t="s">
        <v>266</v>
      </c>
      <c r="L29">
        <v>1369</v>
      </c>
      <c r="N29">
        <v>1013</v>
      </c>
      <c r="O29" t="s">
        <v>264</v>
      </c>
      <c r="P29" t="s">
        <v>264</v>
      </c>
      <c r="Q29">
        <v>1</v>
      </c>
      <c r="W29">
        <v>0</v>
      </c>
      <c r="X29">
        <v>126826561</v>
      </c>
      <c r="Y29">
        <f t="shared" si="7"/>
        <v>0.81</v>
      </c>
      <c r="AA29">
        <v>0</v>
      </c>
      <c r="AB29">
        <v>0</v>
      </c>
      <c r="AC29">
        <v>0</v>
      </c>
      <c r="AD29">
        <v>708.84</v>
      </c>
      <c r="AE29">
        <v>0</v>
      </c>
      <c r="AF29">
        <v>0</v>
      </c>
      <c r="AG29">
        <v>0</v>
      </c>
      <c r="AH29">
        <v>708.84</v>
      </c>
      <c r="AI29">
        <v>1</v>
      </c>
      <c r="AJ29">
        <v>1</v>
      </c>
      <c r="AK29">
        <v>1</v>
      </c>
      <c r="AL29">
        <v>1</v>
      </c>
      <c r="AM29">
        <v>-2</v>
      </c>
      <c r="AN29">
        <v>0</v>
      </c>
      <c r="AO29">
        <v>0</v>
      </c>
      <c r="AP29">
        <v>1</v>
      </c>
      <c r="AQ29">
        <v>1</v>
      </c>
      <c r="AR29">
        <v>0</v>
      </c>
      <c r="AS29" t="s">
        <v>3</v>
      </c>
      <c r="AT29">
        <v>0.81</v>
      </c>
      <c r="AU29" t="s">
        <v>3</v>
      </c>
      <c r="AV29">
        <v>1</v>
      </c>
      <c r="AW29">
        <v>2</v>
      </c>
      <c r="AX29">
        <v>88041397</v>
      </c>
      <c r="AY29">
        <v>2</v>
      </c>
      <c r="AZ29">
        <v>131072</v>
      </c>
      <c r="BA29">
        <v>32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574.1604000000001</v>
      </c>
      <c r="BN29">
        <v>0.81</v>
      </c>
      <c r="BO29">
        <v>0</v>
      </c>
      <c r="BP29">
        <v>1</v>
      </c>
      <c r="BQ29">
        <v>0</v>
      </c>
      <c r="BR29">
        <v>0</v>
      </c>
      <c r="BS29">
        <v>0</v>
      </c>
      <c r="BT29">
        <v>574.1604000000001</v>
      </c>
      <c r="BU29">
        <v>0.81</v>
      </c>
      <c r="BV29">
        <v>0</v>
      </c>
      <c r="BW29">
        <v>1</v>
      </c>
      <c r="CU29">
        <f>ROUND(AT29*Source!I105*AH29*AL29,2)</f>
        <v>1722.48</v>
      </c>
      <c r="CV29">
        <f>ROUND(Y29*Source!I105,7)</f>
        <v>2.4300000000000002</v>
      </c>
      <c r="CW29">
        <v>0</v>
      </c>
      <c r="CX29">
        <f>ROUND(Y29*Source!I105,7)</f>
        <v>2.4300000000000002</v>
      </c>
      <c r="CY29">
        <f t="shared" si="11"/>
        <v>708.84</v>
      </c>
      <c r="CZ29">
        <f t="shared" si="12"/>
        <v>708.84</v>
      </c>
      <c r="DA29">
        <f t="shared" si="13"/>
        <v>1</v>
      </c>
      <c r="DB29">
        <f t="shared" si="8"/>
        <v>574.16</v>
      </c>
      <c r="DC29">
        <f t="shared" si="9"/>
        <v>0</v>
      </c>
      <c r="DD29" t="s">
        <v>3</v>
      </c>
      <c r="DE29" t="s">
        <v>3</v>
      </c>
      <c r="DF29">
        <f t="shared" si="14"/>
        <v>0</v>
      </c>
      <c r="DG29">
        <f t="shared" si="6"/>
        <v>0</v>
      </c>
      <c r="DH29">
        <f t="shared" si="4"/>
        <v>0</v>
      </c>
      <c r="DI29">
        <f t="shared" si="5"/>
        <v>1722.48</v>
      </c>
      <c r="DJ29">
        <f t="shared" si="15"/>
        <v>1722.48</v>
      </c>
      <c r="DK29">
        <v>1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ROW(Source!A106)</f>
        <v>106</v>
      </c>
      <c r="B30">
        <v>88041693</v>
      </c>
      <c r="C30">
        <v>88041398</v>
      </c>
      <c r="D30">
        <v>82561135</v>
      </c>
      <c r="E30">
        <v>114</v>
      </c>
      <c r="F30">
        <v>1</v>
      </c>
      <c r="G30">
        <v>1</v>
      </c>
      <c r="H30">
        <v>1</v>
      </c>
      <c r="I30" t="s">
        <v>262</v>
      </c>
      <c r="J30" t="s">
        <v>3</v>
      </c>
      <c r="K30" t="s">
        <v>263</v>
      </c>
      <c r="L30">
        <v>1369</v>
      </c>
      <c r="N30">
        <v>1013</v>
      </c>
      <c r="O30" t="s">
        <v>264</v>
      </c>
      <c r="P30" t="s">
        <v>264</v>
      </c>
      <c r="Q30">
        <v>1</v>
      </c>
      <c r="W30">
        <v>0</v>
      </c>
      <c r="X30">
        <v>286205319</v>
      </c>
      <c r="Y30">
        <f>(AT30*ROUND(1.3,7))</f>
        <v>13.169000000000002</v>
      </c>
      <c r="AA30">
        <v>0</v>
      </c>
      <c r="AB30">
        <v>0</v>
      </c>
      <c r="AC30">
        <v>0</v>
      </c>
      <c r="AD30">
        <v>724.95</v>
      </c>
      <c r="AE30">
        <v>0</v>
      </c>
      <c r="AF30">
        <v>0</v>
      </c>
      <c r="AG30">
        <v>0</v>
      </c>
      <c r="AH30">
        <v>724.95</v>
      </c>
      <c r="AI30">
        <v>1</v>
      </c>
      <c r="AJ30">
        <v>1</v>
      </c>
      <c r="AK30">
        <v>1</v>
      </c>
      <c r="AL30">
        <v>1</v>
      </c>
      <c r="AM30">
        <v>-2</v>
      </c>
      <c r="AN30">
        <v>0</v>
      </c>
      <c r="AO30">
        <v>0</v>
      </c>
      <c r="AP30">
        <v>1</v>
      </c>
      <c r="AQ30">
        <v>1</v>
      </c>
      <c r="AR30">
        <v>0</v>
      </c>
      <c r="AS30" t="s">
        <v>3</v>
      </c>
      <c r="AT30">
        <v>10.130000000000001</v>
      </c>
      <c r="AU30" t="s">
        <v>126</v>
      </c>
      <c r="AV30">
        <v>1</v>
      </c>
      <c r="AW30">
        <v>2</v>
      </c>
      <c r="AX30">
        <v>88041401</v>
      </c>
      <c r="AY30">
        <v>2</v>
      </c>
      <c r="AZ30">
        <v>133120</v>
      </c>
      <c r="BA30">
        <v>33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7343.7435000000014</v>
      </c>
      <c r="BN30">
        <v>10.130000000000001</v>
      </c>
      <c r="BO30">
        <v>0</v>
      </c>
      <c r="BP30">
        <v>1</v>
      </c>
      <c r="BQ30">
        <v>0</v>
      </c>
      <c r="BR30">
        <v>0</v>
      </c>
      <c r="BS30">
        <v>0</v>
      </c>
      <c r="BT30">
        <v>9546.8665500000006</v>
      </c>
      <c r="BU30">
        <v>13.169</v>
      </c>
      <c r="BV30">
        <v>0</v>
      </c>
      <c r="BW30">
        <v>1</v>
      </c>
      <c r="CU30">
        <f>ROUND(AT30*Source!I106*AH30*AL30,2)</f>
        <v>7343.74</v>
      </c>
      <c r="CV30">
        <f>ROUND(Y30*Source!I106,7)</f>
        <v>13.169</v>
      </c>
      <c r="CW30">
        <v>0</v>
      </c>
      <c r="CX30">
        <f>ROUND(Y30*Source!I106,7)</f>
        <v>13.169</v>
      </c>
      <c r="CY30">
        <f t="shared" si="11"/>
        <v>724.95</v>
      </c>
      <c r="CZ30">
        <f t="shared" si="12"/>
        <v>724.95</v>
      </c>
      <c r="DA30">
        <f t="shared" si="13"/>
        <v>1</v>
      </c>
      <c r="DB30">
        <f>ROUND((ROUND(AT30*CZ30,2)*ROUND(1.3,7)),6)</f>
        <v>9546.8619999999992</v>
      </c>
      <c r="DC30">
        <f>ROUND((ROUND(AT30*AG30,2)*ROUND(1.3,7)),6)</f>
        <v>0</v>
      </c>
      <c r="DD30" t="s">
        <v>3</v>
      </c>
      <c r="DE30" t="s">
        <v>3</v>
      </c>
      <c r="DF30">
        <f t="shared" si="14"/>
        <v>0</v>
      </c>
      <c r="DG30">
        <f t="shared" si="6"/>
        <v>0</v>
      </c>
      <c r="DH30">
        <f t="shared" si="4"/>
        <v>0</v>
      </c>
      <c r="DI30">
        <f t="shared" si="5"/>
        <v>9546.8700000000008</v>
      </c>
      <c r="DJ30">
        <f t="shared" si="15"/>
        <v>9546.8700000000008</v>
      </c>
      <c r="DK30">
        <v>1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ROW(Source!A106)</f>
        <v>106</v>
      </c>
      <c r="B31">
        <v>88041693</v>
      </c>
      <c r="C31">
        <v>88041398</v>
      </c>
      <c r="D31">
        <v>82561159</v>
      </c>
      <c r="E31">
        <v>114</v>
      </c>
      <c r="F31">
        <v>1</v>
      </c>
      <c r="G31">
        <v>1</v>
      </c>
      <c r="H31">
        <v>1</v>
      </c>
      <c r="I31" t="s">
        <v>265</v>
      </c>
      <c r="J31" t="s">
        <v>3</v>
      </c>
      <c r="K31" t="s">
        <v>266</v>
      </c>
      <c r="L31">
        <v>1369</v>
      </c>
      <c r="N31">
        <v>1013</v>
      </c>
      <c r="O31" t="s">
        <v>264</v>
      </c>
      <c r="P31" t="s">
        <v>264</v>
      </c>
      <c r="Q31">
        <v>1</v>
      </c>
      <c r="W31">
        <v>0</v>
      </c>
      <c r="X31">
        <v>126826561</v>
      </c>
      <c r="Y31">
        <f>(AT31*ROUND(1.3,7))</f>
        <v>13.169000000000002</v>
      </c>
      <c r="AA31">
        <v>0</v>
      </c>
      <c r="AB31">
        <v>0</v>
      </c>
      <c r="AC31">
        <v>0</v>
      </c>
      <c r="AD31">
        <v>708.84</v>
      </c>
      <c r="AE31">
        <v>0</v>
      </c>
      <c r="AF31">
        <v>0</v>
      </c>
      <c r="AG31">
        <v>0</v>
      </c>
      <c r="AH31">
        <v>708.84</v>
      </c>
      <c r="AI31">
        <v>1</v>
      </c>
      <c r="AJ31">
        <v>1</v>
      </c>
      <c r="AK31">
        <v>1</v>
      </c>
      <c r="AL31">
        <v>1</v>
      </c>
      <c r="AM31">
        <v>-2</v>
      </c>
      <c r="AN31">
        <v>0</v>
      </c>
      <c r="AO31">
        <v>0</v>
      </c>
      <c r="AP31">
        <v>1</v>
      </c>
      <c r="AQ31">
        <v>1</v>
      </c>
      <c r="AR31">
        <v>0</v>
      </c>
      <c r="AS31" t="s">
        <v>3</v>
      </c>
      <c r="AT31">
        <v>10.130000000000001</v>
      </c>
      <c r="AU31" t="s">
        <v>126</v>
      </c>
      <c r="AV31">
        <v>1</v>
      </c>
      <c r="AW31">
        <v>2</v>
      </c>
      <c r="AX31">
        <v>88041402</v>
      </c>
      <c r="AY31">
        <v>2</v>
      </c>
      <c r="AZ31">
        <v>133120</v>
      </c>
      <c r="BA31">
        <v>34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7180.5492000000013</v>
      </c>
      <c r="BN31">
        <v>10.130000000000001</v>
      </c>
      <c r="BO31">
        <v>0</v>
      </c>
      <c r="BP31">
        <v>1</v>
      </c>
      <c r="BQ31">
        <v>0</v>
      </c>
      <c r="BR31">
        <v>0</v>
      </c>
      <c r="BS31">
        <v>0</v>
      </c>
      <c r="BT31">
        <v>9334.713960000001</v>
      </c>
      <c r="BU31">
        <v>13.169</v>
      </c>
      <c r="BV31">
        <v>0</v>
      </c>
      <c r="BW31">
        <v>1</v>
      </c>
      <c r="CU31">
        <f>ROUND(AT31*Source!I106*AH31*AL31,2)</f>
        <v>7180.55</v>
      </c>
      <c r="CV31">
        <f>ROUND(Y31*Source!I106,7)</f>
        <v>13.169</v>
      </c>
      <c r="CW31">
        <v>0</v>
      </c>
      <c r="CX31">
        <f>ROUND(Y31*Source!I106,7)</f>
        <v>13.169</v>
      </c>
      <c r="CY31">
        <f t="shared" si="11"/>
        <v>708.84</v>
      </c>
      <c r="CZ31">
        <f t="shared" si="12"/>
        <v>708.84</v>
      </c>
      <c r="DA31">
        <f t="shared" si="13"/>
        <v>1</v>
      </c>
      <c r="DB31">
        <f>ROUND((ROUND(AT31*CZ31,2)*ROUND(1.3,7)),6)</f>
        <v>9334.7150000000001</v>
      </c>
      <c r="DC31">
        <f>ROUND((ROUND(AT31*AG31,2)*ROUND(1.3,7)),6)</f>
        <v>0</v>
      </c>
      <c r="DD31" t="s">
        <v>3</v>
      </c>
      <c r="DE31" t="s">
        <v>3</v>
      </c>
      <c r="DF31">
        <f t="shared" si="14"/>
        <v>0</v>
      </c>
      <c r="DG31">
        <f t="shared" si="6"/>
        <v>0</v>
      </c>
      <c r="DH31">
        <f t="shared" si="4"/>
        <v>0</v>
      </c>
      <c r="DI31">
        <f t="shared" si="5"/>
        <v>9334.7099999999991</v>
      </c>
      <c r="DJ31">
        <f t="shared" si="15"/>
        <v>9334.7099999999991</v>
      </c>
      <c r="DK31">
        <v>1</v>
      </c>
      <c r="DL31" t="s">
        <v>3</v>
      </c>
      <c r="DM31">
        <v>0</v>
      </c>
      <c r="DN31" t="s">
        <v>3</v>
      </c>
      <c r="DO31">
        <v>0</v>
      </c>
    </row>
    <row r="203" spans="9:9" x14ac:dyDescent="0.2">
      <c r="I203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4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ROW(Source!A28)</f>
        <v>28</v>
      </c>
      <c r="B1">
        <v>88041333</v>
      </c>
      <c r="C1">
        <v>88041321</v>
      </c>
      <c r="D1">
        <v>82560988</v>
      </c>
      <c r="E1">
        <v>114</v>
      </c>
      <c r="F1">
        <v>1</v>
      </c>
      <c r="G1">
        <v>1</v>
      </c>
      <c r="H1">
        <v>1</v>
      </c>
      <c r="I1" t="s">
        <v>211</v>
      </c>
      <c r="J1" t="s">
        <v>3</v>
      </c>
      <c r="K1" t="s">
        <v>212</v>
      </c>
      <c r="L1">
        <v>1191</v>
      </c>
      <c r="N1">
        <v>1013</v>
      </c>
      <c r="O1" t="s">
        <v>213</v>
      </c>
      <c r="P1" t="s">
        <v>213</v>
      </c>
      <c r="Q1">
        <v>1</v>
      </c>
      <c r="X1">
        <v>29.68</v>
      </c>
      <c r="Y1">
        <v>0</v>
      </c>
      <c r="Z1">
        <v>0</v>
      </c>
      <c r="AA1">
        <v>0</v>
      </c>
      <c r="AB1">
        <v>491.72</v>
      </c>
      <c r="AC1">
        <v>0</v>
      </c>
      <c r="AD1">
        <v>1</v>
      </c>
      <c r="AE1">
        <v>1</v>
      </c>
      <c r="AF1" t="s">
        <v>22</v>
      </c>
      <c r="AG1">
        <v>40.068000000000005</v>
      </c>
      <c r="AH1">
        <v>2</v>
      </c>
      <c r="AI1">
        <v>88041322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ROW(Source!A28)</f>
        <v>28</v>
      </c>
      <c r="B2">
        <v>88041334</v>
      </c>
      <c r="C2">
        <v>88041321</v>
      </c>
      <c r="D2">
        <v>82561165</v>
      </c>
      <c r="E2">
        <v>114</v>
      </c>
      <c r="F2">
        <v>1</v>
      </c>
      <c r="G2">
        <v>1</v>
      </c>
      <c r="H2">
        <v>1</v>
      </c>
      <c r="I2" t="s">
        <v>214</v>
      </c>
      <c r="J2" t="s">
        <v>3</v>
      </c>
      <c r="K2" t="s">
        <v>215</v>
      </c>
      <c r="L2">
        <v>1191</v>
      </c>
      <c r="N2">
        <v>1013</v>
      </c>
      <c r="O2" t="s">
        <v>213</v>
      </c>
      <c r="P2" t="s">
        <v>213</v>
      </c>
      <c r="Q2">
        <v>1</v>
      </c>
      <c r="X2">
        <v>0.4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22</v>
      </c>
      <c r="AG2">
        <v>0.54</v>
      </c>
      <c r="AH2">
        <v>2</v>
      </c>
      <c r="AI2">
        <v>88041323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ROW(Source!A28)</f>
        <v>28</v>
      </c>
      <c r="B3">
        <v>88041335</v>
      </c>
      <c r="C3">
        <v>88041321</v>
      </c>
      <c r="D3">
        <v>82685608</v>
      </c>
      <c r="E3">
        <v>1</v>
      </c>
      <c r="F3">
        <v>1</v>
      </c>
      <c r="G3">
        <v>1</v>
      </c>
      <c r="H3">
        <v>2</v>
      </c>
      <c r="I3" t="s">
        <v>216</v>
      </c>
      <c r="J3" t="s">
        <v>217</v>
      </c>
      <c r="K3" t="s">
        <v>218</v>
      </c>
      <c r="L3">
        <v>1368</v>
      </c>
      <c r="N3">
        <v>1011</v>
      </c>
      <c r="O3" t="s">
        <v>219</v>
      </c>
      <c r="P3" t="s">
        <v>219</v>
      </c>
      <c r="Q3">
        <v>1</v>
      </c>
      <c r="X3">
        <v>0.2</v>
      </c>
      <c r="Y3">
        <v>0</v>
      </c>
      <c r="Z3">
        <v>1613.51</v>
      </c>
      <c r="AA3">
        <v>675.65</v>
      </c>
      <c r="AB3">
        <v>0</v>
      </c>
      <c r="AC3">
        <v>0</v>
      </c>
      <c r="AD3">
        <v>1</v>
      </c>
      <c r="AE3">
        <v>0</v>
      </c>
      <c r="AF3" t="s">
        <v>22</v>
      </c>
      <c r="AG3">
        <v>0.27</v>
      </c>
      <c r="AH3">
        <v>2</v>
      </c>
      <c r="AI3">
        <v>88041324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ROW(Source!A28)</f>
        <v>28</v>
      </c>
      <c r="B4">
        <v>88041336</v>
      </c>
      <c r="C4">
        <v>88041321</v>
      </c>
      <c r="D4">
        <v>82685705</v>
      </c>
      <c r="E4">
        <v>1</v>
      </c>
      <c r="F4">
        <v>1</v>
      </c>
      <c r="G4">
        <v>1</v>
      </c>
      <c r="H4">
        <v>2</v>
      </c>
      <c r="I4" t="s">
        <v>221</v>
      </c>
      <c r="J4" t="s">
        <v>222</v>
      </c>
      <c r="K4" t="s">
        <v>223</v>
      </c>
      <c r="L4">
        <v>1368</v>
      </c>
      <c r="N4">
        <v>1011</v>
      </c>
      <c r="O4" t="s">
        <v>219</v>
      </c>
      <c r="P4" t="s">
        <v>219</v>
      </c>
      <c r="Q4">
        <v>1</v>
      </c>
      <c r="X4">
        <v>6.9</v>
      </c>
      <c r="Y4">
        <v>0</v>
      </c>
      <c r="Z4">
        <v>2.96</v>
      </c>
      <c r="AA4">
        <v>0</v>
      </c>
      <c r="AB4">
        <v>0</v>
      </c>
      <c r="AC4">
        <v>0</v>
      </c>
      <c r="AD4">
        <v>1</v>
      </c>
      <c r="AE4">
        <v>0</v>
      </c>
      <c r="AF4" t="s">
        <v>22</v>
      </c>
      <c r="AG4">
        <v>9.3150000000000013</v>
      </c>
      <c r="AH4">
        <v>2</v>
      </c>
      <c r="AI4">
        <v>88041325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ROW(Source!A28)</f>
        <v>28</v>
      </c>
      <c r="B5">
        <v>88041337</v>
      </c>
      <c r="C5">
        <v>88041321</v>
      </c>
      <c r="D5">
        <v>82685749</v>
      </c>
      <c r="E5">
        <v>1</v>
      </c>
      <c r="F5">
        <v>1</v>
      </c>
      <c r="G5">
        <v>1</v>
      </c>
      <c r="H5">
        <v>2</v>
      </c>
      <c r="I5" t="s">
        <v>224</v>
      </c>
      <c r="J5" t="s">
        <v>225</v>
      </c>
      <c r="K5" t="s">
        <v>226</v>
      </c>
      <c r="L5">
        <v>1368</v>
      </c>
      <c r="N5">
        <v>1011</v>
      </c>
      <c r="O5" t="s">
        <v>219</v>
      </c>
      <c r="P5" t="s">
        <v>219</v>
      </c>
      <c r="Q5">
        <v>1</v>
      </c>
      <c r="X5">
        <v>6.9</v>
      </c>
      <c r="Y5">
        <v>0</v>
      </c>
      <c r="Z5">
        <v>13.44</v>
      </c>
      <c r="AA5">
        <v>0</v>
      </c>
      <c r="AB5">
        <v>0</v>
      </c>
      <c r="AC5">
        <v>0</v>
      </c>
      <c r="AD5">
        <v>1</v>
      </c>
      <c r="AE5">
        <v>0</v>
      </c>
      <c r="AF5" t="s">
        <v>22</v>
      </c>
      <c r="AG5">
        <v>9.3150000000000013</v>
      </c>
      <c r="AH5">
        <v>2</v>
      </c>
      <c r="AI5">
        <v>88041326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ROW(Source!A28)</f>
        <v>28</v>
      </c>
      <c r="B6">
        <v>88041338</v>
      </c>
      <c r="C6">
        <v>88041321</v>
      </c>
      <c r="D6">
        <v>82686499</v>
      </c>
      <c r="E6">
        <v>1</v>
      </c>
      <c r="F6">
        <v>1</v>
      </c>
      <c r="G6">
        <v>1</v>
      </c>
      <c r="H6">
        <v>2</v>
      </c>
      <c r="I6" t="s">
        <v>227</v>
      </c>
      <c r="J6" t="s">
        <v>228</v>
      </c>
      <c r="K6" t="s">
        <v>229</v>
      </c>
      <c r="L6">
        <v>1368</v>
      </c>
      <c r="N6">
        <v>1011</v>
      </c>
      <c r="O6" t="s">
        <v>219</v>
      </c>
      <c r="P6" t="s">
        <v>219</v>
      </c>
      <c r="Q6">
        <v>1</v>
      </c>
      <c r="X6">
        <v>0.2</v>
      </c>
      <c r="Y6">
        <v>0</v>
      </c>
      <c r="Z6">
        <v>605.36</v>
      </c>
      <c r="AA6">
        <v>502.98</v>
      </c>
      <c r="AB6">
        <v>0</v>
      </c>
      <c r="AC6">
        <v>0</v>
      </c>
      <c r="AD6">
        <v>1</v>
      </c>
      <c r="AE6">
        <v>0</v>
      </c>
      <c r="AF6" t="s">
        <v>22</v>
      </c>
      <c r="AG6">
        <v>0.27</v>
      </c>
      <c r="AH6">
        <v>2</v>
      </c>
      <c r="AI6">
        <v>88041327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ROW(Source!A28)</f>
        <v>28</v>
      </c>
      <c r="B7">
        <v>88041339</v>
      </c>
      <c r="C7">
        <v>88041321</v>
      </c>
      <c r="D7">
        <v>82632867</v>
      </c>
      <c r="E7">
        <v>1</v>
      </c>
      <c r="F7">
        <v>1</v>
      </c>
      <c r="G7">
        <v>1</v>
      </c>
      <c r="H7">
        <v>3</v>
      </c>
      <c r="I7" t="s">
        <v>231</v>
      </c>
      <c r="J7" t="s">
        <v>232</v>
      </c>
      <c r="K7" t="s">
        <v>233</v>
      </c>
      <c r="L7">
        <v>1302</v>
      </c>
      <c r="N7">
        <v>1003</v>
      </c>
      <c r="O7" t="s">
        <v>234</v>
      </c>
      <c r="P7" t="s">
        <v>234</v>
      </c>
      <c r="Q7">
        <v>10</v>
      </c>
      <c r="X7">
        <v>0.245</v>
      </c>
      <c r="Y7">
        <v>37.71</v>
      </c>
      <c r="Z7">
        <v>0</v>
      </c>
      <c r="AA7">
        <v>0</v>
      </c>
      <c r="AB7">
        <v>0</v>
      </c>
      <c r="AC7">
        <v>0</v>
      </c>
      <c r="AD7">
        <v>1</v>
      </c>
      <c r="AE7">
        <v>0</v>
      </c>
      <c r="AF7" t="s">
        <v>3</v>
      </c>
      <c r="AG7">
        <v>0.245</v>
      </c>
      <c r="AH7">
        <v>2</v>
      </c>
      <c r="AI7">
        <v>88041328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ROW(Source!A28)</f>
        <v>28</v>
      </c>
      <c r="B8">
        <v>88041340</v>
      </c>
      <c r="C8">
        <v>88041321</v>
      </c>
      <c r="D8">
        <v>82634525</v>
      </c>
      <c r="E8">
        <v>1</v>
      </c>
      <c r="F8">
        <v>1</v>
      </c>
      <c r="G8">
        <v>1</v>
      </c>
      <c r="H8">
        <v>3</v>
      </c>
      <c r="I8" t="s">
        <v>235</v>
      </c>
      <c r="J8" t="s">
        <v>236</v>
      </c>
      <c r="K8" t="s">
        <v>237</v>
      </c>
      <c r="L8">
        <v>1348</v>
      </c>
      <c r="N8">
        <v>1009</v>
      </c>
      <c r="O8" t="s">
        <v>238</v>
      </c>
      <c r="P8" t="s">
        <v>238</v>
      </c>
      <c r="Q8">
        <v>1000</v>
      </c>
      <c r="X8">
        <v>6.2E-4</v>
      </c>
      <c r="Y8">
        <v>99190.96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 t="s">
        <v>3</v>
      </c>
      <c r="AG8">
        <v>6.2E-4</v>
      </c>
      <c r="AH8">
        <v>2</v>
      </c>
      <c r="AI8">
        <v>88041329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ROW(Source!A28)</f>
        <v>28</v>
      </c>
      <c r="B9">
        <v>88041341</v>
      </c>
      <c r="C9">
        <v>88041321</v>
      </c>
      <c r="D9">
        <v>82643639</v>
      </c>
      <c r="E9">
        <v>1</v>
      </c>
      <c r="F9">
        <v>1</v>
      </c>
      <c r="G9">
        <v>1</v>
      </c>
      <c r="H9">
        <v>3</v>
      </c>
      <c r="I9" t="s">
        <v>239</v>
      </c>
      <c r="J9" t="s">
        <v>240</v>
      </c>
      <c r="K9" t="s">
        <v>241</v>
      </c>
      <c r="L9">
        <v>1346</v>
      </c>
      <c r="N9">
        <v>1009</v>
      </c>
      <c r="O9" t="s">
        <v>242</v>
      </c>
      <c r="P9" t="s">
        <v>242</v>
      </c>
      <c r="Q9">
        <v>1</v>
      </c>
      <c r="X9">
        <v>0.25</v>
      </c>
      <c r="Y9">
        <v>931.11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3</v>
      </c>
      <c r="AG9">
        <v>0.25</v>
      </c>
      <c r="AH9">
        <v>2</v>
      </c>
      <c r="AI9">
        <v>88041330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ROW(Source!A28)</f>
        <v>28</v>
      </c>
      <c r="B10">
        <v>88041342</v>
      </c>
      <c r="C10">
        <v>88041321</v>
      </c>
      <c r="D10">
        <v>82651876</v>
      </c>
      <c r="E10">
        <v>1</v>
      </c>
      <c r="F10">
        <v>1</v>
      </c>
      <c r="G10">
        <v>1</v>
      </c>
      <c r="H10">
        <v>3</v>
      </c>
      <c r="I10" t="s">
        <v>243</v>
      </c>
      <c r="J10" t="s">
        <v>244</v>
      </c>
      <c r="K10" t="s">
        <v>245</v>
      </c>
      <c r="L10">
        <v>1348</v>
      </c>
      <c r="N10">
        <v>1009</v>
      </c>
      <c r="O10" t="s">
        <v>238</v>
      </c>
      <c r="P10" t="s">
        <v>238</v>
      </c>
      <c r="Q10">
        <v>1000</v>
      </c>
      <c r="X10">
        <v>7.2000000000000005E-4</v>
      </c>
      <c r="Y10">
        <v>82698.14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7.2000000000000005E-4</v>
      </c>
      <c r="AH10">
        <v>2</v>
      </c>
      <c r="AI10">
        <v>88041331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ROW(Source!A28)</f>
        <v>28</v>
      </c>
      <c r="B11">
        <v>88041343</v>
      </c>
      <c r="C11">
        <v>88041321</v>
      </c>
      <c r="D11">
        <v>82566853</v>
      </c>
      <c r="E11">
        <v>114</v>
      </c>
      <c r="F11">
        <v>1</v>
      </c>
      <c r="G11">
        <v>1</v>
      </c>
      <c r="H11">
        <v>3</v>
      </c>
      <c r="I11" t="s">
        <v>269</v>
      </c>
      <c r="J11" t="s">
        <v>3</v>
      </c>
      <c r="K11" t="s">
        <v>270</v>
      </c>
      <c r="L11">
        <v>3277935</v>
      </c>
      <c r="N11">
        <v>1013</v>
      </c>
      <c r="O11" t="s">
        <v>271</v>
      </c>
      <c r="P11" t="s">
        <v>271</v>
      </c>
      <c r="Q11">
        <v>1</v>
      </c>
      <c r="X11">
        <v>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t="s">
        <v>3</v>
      </c>
      <c r="AG11">
        <v>2</v>
      </c>
      <c r="AH11">
        <v>3</v>
      </c>
      <c r="AI11">
        <v>-1</v>
      </c>
      <c r="AJ11" t="s">
        <v>3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ROW(Source!A64)</f>
        <v>64</v>
      </c>
      <c r="B12">
        <v>88041352</v>
      </c>
      <c r="C12">
        <v>88041345</v>
      </c>
      <c r="D12">
        <v>82560988</v>
      </c>
      <c r="E12">
        <v>114</v>
      </c>
      <c r="F12">
        <v>1</v>
      </c>
      <c r="G12">
        <v>1</v>
      </c>
      <c r="H12">
        <v>1</v>
      </c>
      <c r="I12" t="s">
        <v>211</v>
      </c>
      <c r="J12" t="s">
        <v>3</v>
      </c>
      <c r="K12" t="s">
        <v>212</v>
      </c>
      <c r="L12">
        <v>1191</v>
      </c>
      <c r="N12">
        <v>1013</v>
      </c>
      <c r="O12" t="s">
        <v>213</v>
      </c>
      <c r="P12" t="s">
        <v>213</v>
      </c>
      <c r="Q12">
        <v>1</v>
      </c>
      <c r="X12">
        <v>1.38</v>
      </c>
      <c r="Y12">
        <v>0</v>
      </c>
      <c r="Z12">
        <v>0</v>
      </c>
      <c r="AA12">
        <v>0</v>
      </c>
      <c r="AB12">
        <v>491.72</v>
      </c>
      <c r="AC12">
        <v>0</v>
      </c>
      <c r="AD12">
        <v>1</v>
      </c>
      <c r="AE12">
        <v>1</v>
      </c>
      <c r="AF12" t="s">
        <v>3</v>
      </c>
      <c r="AG12">
        <v>1.38</v>
      </c>
      <c r="AH12">
        <v>2</v>
      </c>
      <c r="AI12">
        <v>88041346</v>
      </c>
      <c r="AJ12">
        <v>11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ROW(Source!A64)</f>
        <v>64</v>
      </c>
      <c r="B13">
        <v>88041353</v>
      </c>
      <c r="C13">
        <v>88041345</v>
      </c>
      <c r="D13">
        <v>82630494</v>
      </c>
      <c r="E13">
        <v>1</v>
      </c>
      <c r="F13">
        <v>1</v>
      </c>
      <c r="G13">
        <v>1</v>
      </c>
      <c r="H13">
        <v>3</v>
      </c>
      <c r="I13" t="s">
        <v>246</v>
      </c>
      <c r="J13" t="s">
        <v>247</v>
      </c>
      <c r="K13" t="s">
        <v>248</v>
      </c>
      <c r="L13">
        <v>1348</v>
      </c>
      <c r="N13">
        <v>1009</v>
      </c>
      <c r="O13" t="s">
        <v>238</v>
      </c>
      <c r="P13" t="s">
        <v>238</v>
      </c>
      <c r="Q13">
        <v>1000</v>
      </c>
      <c r="X13">
        <v>8.0000000000000004E-4</v>
      </c>
      <c r="Y13">
        <v>116448.72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 t="s">
        <v>3</v>
      </c>
      <c r="AG13">
        <v>8.0000000000000004E-4</v>
      </c>
      <c r="AH13">
        <v>2</v>
      </c>
      <c r="AI13">
        <v>88041347</v>
      </c>
      <c r="AJ13">
        <v>12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ROW(Source!A64)</f>
        <v>64</v>
      </c>
      <c r="B14">
        <v>88041354</v>
      </c>
      <c r="C14">
        <v>88041345</v>
      </c>
      <c r="D14">
        <v>82630508</v>
      </c>
      <c r="E14">
        <v>1</v>
      </c>
      <c r="F14">
        <v>1</v>
      </c>
      <c r="G14">
        <v>1</v>
      </c>
      <c r="H14">
        <v>3</v>
      </c>
      <c r="I14" t="s">
        <v>249</v>
      </c>
      <c r="J14" t="s">
        <v>250</v>
      </c>
      <c r="K14" t="s">
        <v>251</v>
      </c>
      <c r="L14">
        <v>1348</v>
      </c>
      <c r="N14">
        <v>1009</v>
      </c>
      <c r="O14" t="s">
        <v>238</v>
      </c>
      <c r="P14" t="s">
        <v>238</v>
      </c>
      <c r="Q14">
        <v>1000</v>
      </c>
      <c r="X14">
        <v>1.0000000000000001E-5</v>
      </c>
      <c r="Y14">
        <v>81827.199999999997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0</v>
      </c>
      <c r="AF14" t="s">
        <v>3</v>
      </c>
      <c r="AG14">
        <v>1.0000000000000001E-5</v>
      </c>
      <c r="AH14">
        <v>2</v>
      </c>
      <c r="AI14">
        <v>88041348</v>
      </c>
      <c r="AJ14">
        <v>13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ROW(Source!A64)</f>
        <v>64</v>
      </c>
      <c r="B15">
        <v>88041355</v>
      </c>
      <c r="C15">
        <v>88041345</v>
      </c>
      <c r="D15">
        <v>82632867</v>
      </c>
      <c r="E15">
        <v>1</v>
      </c>
      <c r="F15">
        <v>1</v>
      </c>
      <c r="G15">
        <v>1</v>
      </c>
      <c r="H15">
        <v>3</v>
      </c>
      <c r="I15" t="s">
        <v>231</v>
      </c>
      <c r="J15" t="s">
        <v>232</v>
      </c>
      <c r="K15" t="s">
        <v>233</v>
      </c>
      <c r="L15">
        <v>1302</v>
      </c>
      <c r="N15">
        <v>1003</v>
      </c>
      <c r="O15" t="s">
        <v>234</v>
      </c>
      <c r="P15" t="s">
        <v>234</v>
      </c>
      <c r="Q15">
        <v>10</v>
      </c>
      <c r="X15">
        <v>2.4E-2</v>
      </c>
      <c r="Y15">
        <v>37.71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 t="s">
        <v>3</v>
      </c>
      <c r="AG15">
        <v>2.4E-2</v>
      </c>
      <c r="AH15">
        <v>2</v>
      </c>
      <c r="AI15">
        <v>88041349</v>
      </c>
      <c r="AJ15">
        <v>14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ROW(Source!A64)</f>
        <v>64</v>
      </c>
      <c r="B16">
        <v>88041356</v>
      </c>
      <c r="C16">
        <v>88041345</v>
      </c>
      <c r="D16">
        <v>82566853</v>
      </c>
      <c r="E16">
        <v>114</v>
      </c>
      <c r="F16">
        <v>1</v>
      </c>
      <c r="G16">
        <v>1</v>
      </c>
      <c r="H16">
        <v>3</v>
      </c>
      <c r="I16" t="s">
        <v>269</v>
      </c>
      <c r="J16" t="s">
        <v>3</v>
      </c>
      <c r="K16" t="s">
        <v>270</v>
      </c>
      <c r="L16">
        <v>3277935</v>
      </c>
      <c r="N16">
        <v>1013</v>
      </c>
      <c r="O16" t="s">
        <v>271</v>
      </c>
      <c r="P16" t="s">
        <v>271</v>
      </c>
      <c r="Q16">
        <v>1</v>
      </c>
      <c r="X16">
        <v>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s">
        <v>3</v>
      </c>
      <c r="AG16">
        <v>2</v>
      </c>
      <c r="AH16">
        <v>3</v>
      </c>
      <c r="AI16">
        <v>-1</v>
      </c>
      <c r="AJ16" t="s">
        <v>3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ROW(Source!A66)</f>
        <v>66</v>
      </c>
      <c r="B17">
        <v>88041362</v>
      </c>
      <c r="C17">
        <v>88041359</v>
      </c>
      <c r="D17">
        <v>82560988</v>
      </c>
      <c r="E17">
        <v>114</v>
      </c>
      <c r="F17">
        <v>1</v>
      </c>
      <c r="G17">
        <v>1</v>
      </c>
      <c r="H17">
        <v>1</v>
      </c>
      <c r="I17" t="s">
        <v>211</v>
      </c>
      <c r="J17" t="s">
        <v>3</v>
      </c>
      <c r="K17" t="s">
        <v>212</v>
      </c>
      <c r="L17">
        <v>1191</v>
      </c>
      <c r="N17">
        <v>1013</v>
      </c>
      <c r="O17" t="s">
        <v>213</v>
      </c>
      <c r="P17" t="s">
        <v>213</v>
      </c>
      <c r="Q17">
        <v>1</v>
      </c>
      <c r="X17">
        <v>22.72</v>
      </c>
      <c r="Y17">
        <v>0</v>
      </c>
      <c r="Z17">
        <v>0</v>
      </c>
      <c r="AA17">
        <v>0</v>
      </c>
      <c r="AB17">
        <v>491.72</v>
      </c>
      <c r="AC17">
        <v>0</v>
      </c>
      <c r="AD17">
        <v>1</v>
      </c>
      <c r="AE17">
        <v>1</v>
      </c>
      <c r="AF17" t="s">
        <v>3</v>
      </c>
      <c r="AG17">
        <v>22.72</v>
      </c>
      <c r="AH17">
        <v>2</v>
      </c>
      <c r="AI17">
        <v>88041360</v>
      </c>
      <c r="AJ17">
        <v>16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ROW(Source!A66)</f>
        <v>66</v>
      </c>
      <c r="B18">
        <v>88041363</v>
      </c>
      <c r="C18">
        <v>88041359</v>
      </c>
      <c r="D18">
        <v>82566853</v>
      </c>
      <c r="E18">
        <v>114</v>
      </c>
      <c r="F18">
        <v>1</v>
      </c>
      <c r="G18">
        <v>1</v>
      </c>
      <c r="H18">
        <v>3</v>
      </c>
      <c r="I18" t="s">
        <v>269</v>
      </c>
      <c r="J18" t="s">
        <v>3</v>
      </c>
      <c r="K18" t="s">
        <v>270</v>
      </c>
      <c r="L18">
        <v>3277935</v>
      </c>
      <c r="N18">
        <v>1013</v>
      </c>
      <c r="O18" t="s">
        <v>271</v>
      </c>
      <c r="P18" t="s">
        <v>271</v>
      </c>
      <c r="Q18">
        <v>1</v>
      </c>
      <c r="X18">
        <v>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t="s">
        <v>3</v>
      </c>
      <c r="AG18">
        <v>2</v>
      </c>
      <c r="AH18">
        <v>3</v>
      </c>
      <c r="AI18">
        <v>-1</v>
      </c>
      <c r="AJ18" t="s">
        <v>3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ROW(Source!A67)</f>
        <v>67</v>
      </c>
      <c r="B19">
        <v>88041374</v>
      </c>
      <c r="C19">
        <v>88041365</v>
      </c>
      <c r="D19">
        <v>82560988</v>
      </c>
      <c r="E19">
        <v>114</v>
      </c>
      <c r="F19">
        <v>1</v>
      </c>
      <c r="G19">
        <v>1</v>
      </c>
      <c r="H19">
        <v>1</v>
      </c>
      <c r="I19" t="s">
        <v>211</v>
      </c>
      <c r="J19" t="s">
        <v>3</v>
      </c>
      <c r="K19" t="s">
        <v>212</v>
      </c>
      <c r="L19">
        <v>1191</v>
      </c>
      <c r="N19">
        <v>1013</v>
      </c>
      <c r="O19" t="s">
        <v>213</v>
      </c>
      <c r="P19" t="s">
        <v>213</v>
      </c>
      <c r="Q19">
        <v>1</v>
      </c>
      <c r="X19">
        <v>32.159999999999997</v>
      </c>
      <c r="Y19">
        <v>0</v>
      </c>
      <c r="Z19">
        <v>0</v>
      </c>
      <c r="AA19">
        <v>0</v>
      </c>
      <c r="AB19">
        <v>491.72</v>
      </c>
      <c r="AC19">
        <v>0</v>
      </c>
      <c r="AD19">
        <v>1</v>
      </c>
      <c r="AE19">
        <v>1</v>
      </c>
      <c r="AF19" t="s">
        <v>3</v>
      </c>
      <c r="AG19">
        <v>32.159999999999997</v>
      </c>
      <c r="AH19">
        <v>2</v>
      </c>
      <c r="AI19">
        <v>88041366</v>
      </c>
      <c r="AJ19">
        <v>17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ROW(Source!A67)</f>
        <v>67</v>
      </c>
      <c r="B20">
        <v>88041375</v>
      </c>
      <c r="C20">
        <v>88041365</v>
      </c>
      <c r="D20">
        <v>82561165</v>
      </c>
      <c r="E20">
        <v>114</v>
      </c>
      <c r="F20">
        <v>1</v>
      </c>
      <c r="G20">
        <v>1</v>
      </c>
      <c r="H20">
        <v>1</v>
      </c>
      <c r="I20" t="s">
        <v>214</v>
      </c>
      <c r="J20" t="s">
        <v>3</v>
      </c>
      <c r="K20" t="s">
        <v>215</v>
      </c>
      <c r="L20">
        <v>1191</v>
      </c>
      <c r="N20">
        <v>1013</v>
      </c>
      <c r="O20" t="s">
        <v>213</v>
      </c>
      <c r="P20" t="s">
        <v>213</v>
      </c>
      <c r="Q20">
        <v>1</v>
      </c>
      <c r="X20">
        <v>0.06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2</v>
      </c>
      <c r="AF20" t="s">
        <v>3</v>
      </c>
      <c r="AG20">
        <v>0.06</v>
      </c>
      <c r="AH20">
        <v>2</v>
      </c>
      <c r="AI20">
        <v>88041367</v>
      </c>
      <c r="AJ20">
        <v>18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ROW(Source!A67)</f>
        <v>67</v>
      </c>
      <c r="B21">
        <v>88041376</v>
      </c>
      <c r="C21">
        <v>88041365</v>
      </c>
      <c r="D21">
        <v>82685608</v>
      </c>
      <c r="E21">
        <v>1</v>
      </c>
      <c r="F21">
        <v>1</v>
      </c>
      <c r="G21">
        <v>1</v>
      </c>
      <c r="H21">
        <v>2</v>
      </c>
      <c r="I21" t="s">
        <v>216</v>
      </c>
      <c r="J21" t="s">
        <v>217</v>
      </c>
      <c r="K21" t="s">
        <v>218</v>
      </c>
      <c r="L21">
        <v>1368</v>
      </c>
      <c r="N21">
        <v>1011</v>
      </c>
      <c r="O21" t="s">
        <v>219</v>
      </c>
      <c r="P21" t="s">
        <v>219</v>
      </c>
      <c r="Q21">
        <v>1</v>
      </c>
      <c r="X21">
        <v>0.03</v>
      </c>
      <c r="Y21">
        <v>0</v>
      </c>
      <c r="Z21">
        <v>1613.51</v>
      </c>
      <c r="AA21">
        <v>675.65</v>
      </c>
      <c r="AB21">
        <v>0</v>
      </c>
      <c r="AC21">
        <v>0</v>
      </c>
      <c r="AD21">
        <v>1</v>
      </c>
      <c r="AE21">
        <v>0</v>
      </c>
      <c r="AF21" t="s">
        <v>3</v>
      </c>
      <c r="AG21">
        <v>0.03</v>
      </c>
      <c r="AH21">
        <v>2</v>
      </c>
      <c r="AI21">
        <v>88041368</v>
      </c>
      <c r="AJ21">
        <v>19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ROW(Source!A67)</f>
        <v>67</v>
      </c>
      <c r="B22">
        <v>88041377</v>
      </c>
      <c r="C22">
        <v>88041365</v>
      </c>
      <c r="D22">
        <v>82686499</v>
      </c>
      <c r="E22">
        <v>1</v>
      </c>
      <c r="F22">
        <v>1</v>
      </c>
      <c r="G22">
        <v>1</v>
      </c>
      <c r="H22">
        <v>2</v>
      </c>
      <c r="I22" t="s">
        <v>227</v>
      </c>
      <c r="J22" t="s">
        <v>228</v>
      </c>
      <c r="K22" t="s">
        <v>229</v>
      </c>
      <c r="L22">
        <v>1368</v>
      </c>
      <c r="N22">
        <v>1011</v>
      </c>
      <c r="O22" t="s">
        <v>219</v>
      </c>
      <c r="P22" t="s">
        <v>219</v>
      </c>
      <c r="Q22">
        <v>1</v>
      </c>
      <c r="X22">
        <v>0.03</v>
      </c>
      <c r="Y22">
        <v>0</v>
      </c>
      <c r="Z22">
        <v>605.36</v>
      </c>
      <c r="AA22">
        <v>502.98</v>
      </c>
      <c r="AB22">
        <v>0</v>
      </c>
      <c r="AC22">
        <v>0</v>
      </c>
      <c r="AD22">
        <v>1</v>
      </c>
      <c r="AE22">
        <v>0</v>
      </c>
      <c r="AF22" t="s">
        <v>3</v>
      </c>
      <c r="AG22">
        <v>0.03</v>
      </c>
      <c r="AH22">
        <v>2</v>
      </c>
      <c r="AI22">
        <v>88041369</v>
      </c>
      <c r="AJ22">
        <v>20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ROW(Source!A67)</f>
        <v>67</v>
      </c>
      <c r="B23">
        <v>88041378</v>
      </c>
      <c r="C23">
        <v>88041365</v>
      </c>
      <c r="D23">
        <v>82632698</v>
      </c>
      <c r="E23">
        <v>1</v>
      </c>
      <c r="F23">
        <v>1</v>
      </c>
      <c r="G23">
        <v>1</v>
      </c>
      <c r="H23">
        <v>3</v>
      </c>
      <c r="I23" t="s">
        <v>252</v>
      </c>
      <c r="J23" t="s">
        <v>253</v>
      </c>
      <c r="K23" t="s">
        <v>254</v>
      </c>
      <c r="L23">
        <v>1383</v>
      </c>
      <c r="N23">
        <v>1013</v>
      </c>
      <c r="O23" t="s">
        <v>255</v>
      </c>
      <c r="P23" t="s">
        <v>255</v>
      </c>
      <c r="Q23">
        <v>1</v>
      </c>
      <c r="X23">
        <v>6.6559999999999997</v>
      </c>
      <c r="Y23">
        <v>6.38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3</v>
      </c>
      <c r="AG23">
        <v>6.6559999999999997</v>
      </c>
      <c r="AH23">
        <v>2</v>
      </c>
      <c r="AI23">
        <v>88041370</v>
      </c>
      <c r="AJ23">
        <v>21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ROW(Source!A67)</f>
        <v>67</v>
      </c>
      <c r="B24">
        <v>88041379</v>
      </c>
      <c r="C24">
        <v>88041365</v>
      </c>
      <c r="D24">
        <v>82634244</v>
      </c>
      <c r="E24">
        <v>1</v>
      </c>
      <c r="F24">
        <v>1</v>
      </c>
      <c r="G24">
        <v>1</v>
      </c>
      <c r="H24">
        <v>3</v>
      </c>
      <c r="I24" t="s">
        <v>256</v>
      </c>
      <c r="J24" t="s">
        <v>257</v>
      </c>
      <c r="K24" t="s">
        <v>258</v>
      </c>
      <c r="L24">
        <v>1425</v>
      </c>
      <c r="N24">
        <v>1013</v>
      </c>
      <c r="O24" t="s">
        <v>95</v>
      </c>
      <c r="P24" t="s">
        <v>95</v>
      </c>
      <c r="Q24">
        <v>1</v>
      </c>
      <c r="X24">
        <v>2.04</v>
      </c>
      <c r="Y24">
        <v>41.71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3</v>
      </c>
      <c r="AG24">
        <v>2.04</v>
      </c>
      <c r="AH24">
        <v>2</v>
      </c>
      <c r="AI24">
        <v>88041371</v>
      </c>
      <c r="AJ24">
        <v>22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ROW(Source!A67)</f>
        <v>67</v>
      </c>
      <c r="B25">
        <v>88041380</v>
      </c>
      <c r="C25">
        <v>88041365</v>
      </c>
      <c r="D25">
        <v>82634495</v>
      </c>
      <c r="E25">
        <v>1</v>
      </c>
      <c r="F25">
        <v>1</v>
      </c>
      <c r="G25">
        <v>1</v>
      </c>
      <c r="H25">
        <v>3</v>
      </c>
      <c r="I25" t="s">
        <v>259</v>
      </c>
      <c r="J25" t="s">
        <v>260</v>
      </c>
      <c r="K25" t="s">
        <v>261</v>
      </c>
      <c r="L25">
        <v>1425</v>
      </c>
      <c r="N25">
        <v>1013</v>
      </c>
      <c r="O25" t="s">
        <v>95</v>
      </c>
      <c r="P25" t="s">
        <v>95</v>
      </c>
      <c r="Q25">
        <v>1</v>
      </c>
      <c r="X25">
        <v>2.04</v>
      </c>
      <c r="Y25">
        <v>18.54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3</v>
      </c>
      <c r="AG25">
        <v>2.04</v>
      </c>
      <c r="AH25">
        <v>2</v>
      </c>
      <c r="AI25">
        <v>88041372</v>
      </c>
      <c r="AJ25">
        <v>23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ROW(Source!A67)</f>
        <v>67</v>
      </c>
      <c r="B26">
        <v>88041381</v>
      </c>
      <c r="C26">
        <v>88041365</v>
      </c>
      <c r="D26">
        <v>82566853</v>
      </c>
      <c r="E26">
        <v>114</v>
      </c>
      <c r="F26">
        <v>1</v>
      </c>
      <c r="G26">
        <v>1</v>
      </c>
      <c r="H26">
        <v>3</v>
      </c>
      <c r="I26" t="s">
        <v>269</v>
      </c>
      <c r="J26" t="s">
        <v>3</v>
      </c>
      <c r="K26" t="s">
        <v>270</v>
      </c>
      <c r="L26">
        <v>3277935</v>
      </c>
      <c r="N26">
        <v>1013</v>
      </c>
      <c r="O26" t="s">
        <v>271</v>
      </c>
      <c r="P26" t="s">
        <v>271</v>
      </c>
      <c r="Q26">
        <v>1</v>
      </c>
      <c r="X26">
        <v>2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 t="s">
        <v>3</v>
      </c>
      <c r="AG26">
        <v>2</v>
      </c>
      <c r="AH26">
        <v>3</v>
      </c>
      <c r="AI26">
        <v>-1</v>
      </c>
      <c r="AJ26" t="s">
        <v>3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ROW(Source!A103)</f>
        <v>103</v>
      </c>
      <c r="B27">
        <v>88041386</v>
      </c>
      <c r="C27">
        <v>88041383</v>
      </c>
      <c r="D27">
        <v>82561135</v>
      </c>
      <c r="E27">
        <v>114</v>
      </c>
      <c r="F27">
        <v>1</v>
      </c>
      <c r="G27">
        <v>1</v>
      </c>
      <c r="H27">
        <v>1</v>
      </c>
      <c r="I27" t="s">
        <v>262</v>
      </c>
      <c r="J27" t="s">
        <v>3</v>
      </c>
      <c r="K27" t="s">
        <v>263</v>
      </c>
      <c r="L27">
        <v>1369</v>
      </c>
      <c r="N27">
        <v>1013</v>
      </c>
      <c r="O27" t="s">
        <v>264</v>
      </c>
      <c r="P27" t="s">
        <v>264</v>
      </c>
      <c r="Q27">
        <v>1</v>
      </c>
      <c r="X27">
        <v>6.48</v>
      </c>
      <c r="Y27">
        <v>0</v>
      </c>
      <c r="Z27">
        <v>0</v>
      </c>
      <c r="AA27">
        <v>0</v>
      </c>
      <c r="AB27">
        <v>675.65</v>
      </c>
      <c r="AC27">
        <v>0</v>
      </c>
      <c r="AD27">
        <v>1</v>
      </c>
      <c r="AE27">
        <v>1</v>
      </c>
      <c r="AF27" t="s">
        <v>3</v>
      </c>
      <c r="AG27">
        <v>6.48</v>
      </c>
      <c r="AH27">
        <v>2</v>
      </c>
      <c r="AI27">
        <v>88041384</v>
      </c>
      <c r="AJ27">
        <v>24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ROW(Source!A103)</f>
        <v>103</v>
      </c>
      <c r="B28">
        <v>88041387</v>
      </c>
      <c r="C28">
        <v>88041383</v>
      </c>
      <c r="D28">
        <v>82561159</v>
      </c>
      <c r="E28">
        <v>114</v>
      </c>
      <c r="F28">
        <v>1</v>
      </c>
      <c r="G28">
        <v>1</v>
      </c>
      <c r="H28">
        <v>1</v>
      </c>
      <c r="I28" t="s">
        <v>265</v>
      </c>
      <c r="J28" t="s">
        <v>3</v>
      </c>
      <c r="K28" t="s">
        <v>266</v>
      </c>
      <c r="L28">
        <v>1369</v>
      </c>
      <c r="N28">
        <v>1013</v>
      </c>
      <c r="O28" t="s">
        <v>264</v>
      </c>
      <c r="P28" t="s">
        <v>264</v>
      </c>
      <c r="Q28">
        <v>1</v>
      </c>
      <c r="X28">
        <v>6.48</v>
      </c>
      <c r="Y28">
        <v>0</v>
      </c>
      <c r="Z28">
        <v>0</v>
      </c>
      <c r="AA28">
        <v>0</v>
      </c>
      <c r="AB28">
        <v>660.63</v>
      </c>
      <c r="AC28">
        <v>0</v>
      </c>
      <c r="AD28">
        <v>1</v>
      </c>
      <c r="AE28">
        <v>1</v>
      </c>
      <c r="AF28" t="s">
        <v>3</v>
      </c>
      <c r="AG28">
        <v>6.48</v>
      </c>
      <c r="AH28">
        <v>2</v>
      </c>
      <c r="AI28">
        <v>88041385</v>
      </c>
      <c r="AJ28">
        <v>25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ROW(Source!A104)</f>
        <v>104</v>
      </c>
      <c r="B29">
        <v>88041391</v>
      </c>
      <c r="C29">
        <v>88041388</v>
      </c>
      <c r="D29">
        <v>82561131</v>
      </c>
      <c r="E29">
        <v>114</v>
      </c>
      <c r="F29">
        <v>1</v>
      </c>
      <c r="G29">
        <v>1</v>
      </c>
      <c r="H29">
        <v>1</v>
      </c>
      <c r="I29" t="s">
        <v>267</v>
      </c>
      <c r="J29" t="s">
        <v>3</v>
      </c>
      <c r="K29" t="s">
        <v>268</v>
      </c>
      <c r="L29">
        <v>1369</v>
      </c>
      <c r="N29">
        <v>1013</v>
      </c>
      <c r="O29" t="s">
        <v>264</v>
      </c>
      <c r="P29" t="s">
        <v>264</v>
      </c>
      <c r="Q29">
        <v>1</v>
      </c>
      <c r="X29">
        <v>1.94</v>
      </c>
      <c r="Y29">
        <v>0</v>
      </c>
      <c r="Z29">
        <v>0</v>
      </c>
      <c r="AA29">
        <v>0</v>
      </c>
      <c r="AB29">
        <v>502.98</v>
      </c>
      <c r="AC29">
        <v>0</v>
      </c>
      <c r="AD29">
        <v>1</v>
      </c>
      <c r="AE29">
        <v>1</v>
      </c>
      <c r="AF29" t="s">
        <v>3</v>
      </c>
      <c r="AG29">
        <v>1.94</v>
      </c>
      <c r="AH29">
        <v>2</v>
      </c>
      <c r="AI29">
        <v>88041389</v>
      </c>
      <c r="AJ29">
        <v>26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ROW(Source!A104)</f>
        <v>104</v>
      </c>
      <c r="B30">
        <v>88041392</v>
      </c>
      <c r="C30">
        <v>88041388</v>
      </c>
      <c r="D30">
        <v>82561159</v>
      </c>
      <c r="E30">
        <v>114</v>
      </c>
      <c r="F30">
        <v>1</v>
      </c>
      <c r="G30">
        <v>1</v>
      </c>
      <c r="H30">
        <v>1</v>
      </c>
      <c r="I30" t="s">
        <v>265</v>
      </c>
      <c r="J30" t="s">
        <v>3</v>
      </c>
      <c r="K30" t="s">
        <v>266</v>
      </c>
      <c r="L30">
        <v>1369</v>
      </c>
      <c r="N30">
        <v>1013</v>
      </c>
      <c r="O30" t="s">
        <v>264</v>
      </c>
      <c r="P30" t="s">
        <v>264</v>
      </c>
      <c r="Q30">
        <v>1</v>
      </c>
      <c r="X30">
        <v>2.92</v>
      </c>
      <c r="Y30">
        <v>0</v>
      </c>
      <c r="Z30">
        <v>0</v>
      </c>
      <c r="AA30">
        <v>0</v>
      </c>
      <c r="AB30">
        <v>660.63</v>
      </c>
      <c r="AC30">
        <v>0</v>
      </c>
      <c r="AD30">
        <v>1</v>
      </c>
      <c r="AE30">
        <v>1</v>
      </c>
      <c r="AF30" t="s">
        <v>3</v>
      </c>
      <c r="AG30">
        <v>2.92</v>
      </c>
      <c r="AH30">
        <v>2</v>
      </c>
      <c r="AI30">
        <v>88041390</v>
      </c>
      <c r="AJ30">
        <v>27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ROW(Source!A105)</f>
        <v>105</v>
      </c>
      <c r="B31">
        <v>88041396</v>
      </c>
      <c r="C31">
        <v>88041393</v>
      </c>
      <c r="D31">
        <v>82561135</v>
      </c>
      <c r="E31">
        <v>114</v>
      </c>
      <c r="F31">
        <v>1</v>
      </c>
      <c r="G31">
        <v>1</v>
      </c>
      <c r="H31">
        <v>1</v>
      </c>
      <c r="I31" t="s">
        <v>262</v>
      </c>
      <c r="J31" t="s">
        <v>3</v>
      </c>
      <c r="K31" t="s">
        <v>263</v>
      </c>
      <c r="L31">
        <v>1369</v>
      </c>
      <c r="N31">
        <v>1013</v>
      </c>
      <c r="O31" t="s">
        <v>264</v>
      </c>
      <c r="P31" t="s">
        <v>264</v>
      </c>
      <c r="Q31">
        <v>1</v>
      </c>
      <c r="X31">
        <v>0.81</v>
      </c>
      <c r="Y31">
        <v>0</v>
      </c>
      <c r="Z31">
        <v>0</v>
      </c>
      <c r="AA31">
        <v>0</v>
      </c>
      <c r="AB31">
        <v>675.65</v>
      </c>
      <c r="AC31">
        <v>0</v>
      </c>
      <c r="AD31">
        <v>1</v>
      </c>
      <c r="AE31">
        <v>1</v>
      </c>
      <c r="AF31" t="s">
        <v>3</v>
      </c>
      <c r="AG31">
        <v>0.81</v>
      </c>
      <c r="AH31">
        <v>2</v>
      </c>
      <c r="AI31">
        <v>88041394</v>
      </c>
      <c r="AJ31">
        <v>28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ROW(Source!A105)</f>
        <v>105</v>
      </c>
      <c r="B32">
        <v>88041397</v>
      </c>
      <c r="C32">
        <v>88041393</v>
      </c>
      <c r="D32">
        <v>82561159</v>
      </c>
      <c r="E32">
        <v>114</v>
      </c>
      <c r="F32">
        <v>1</v>
      </c>
      <c r="G32">
        <v>1</v>
      </c>
      <c r="H32">
        <v>1</v>
      </c>
      <c r="I32" t="s">
        <v>265</v>
      </c>
      <c r="J32" t="s">
        <v>3</v>
      </c>
      <c r="K32" t="s">
        <v>266</v>
      </c>
      <c r="L32">
        <v>1369</v>
      </c>
      <c r="N32">
        <v>1013</v>
      </c>
      <c r="O32" t="s">
        <v>264</v>
      </c>
      <c r="P32" t="s">
        <v>264</v>
      </c>
      <c r="Q32">
        <v>1</v>
      </c>
      <c r="X32">
        <v>0.81</v>
      </c>
      <c r="Y32">
        <v>0</v>
      </c>
      <c r="Z32">
        <v>0</v>
      </c>
      <c r="AA32">
        <v>0</v>
      </c>
      <c r="AB32">
        <v>660.63</v>
      </c>
      <c r="AC32">
        <v>0</v>
      </c>
      <c r="AD32">
        <v>1</v>
      </c>
      <c r="AE32">
        <v>1</v>
      </c>
      <c r="AF32" t="s">
        <v>3</v>
      </c>
      <c r="AG32">
        <v>0.81</v>
      </c>
      <c r="AH32">
        <v>2</v>
      </c>
      <c r="AI32">
        <v>88041395</v>
      </c>
      <c r="AJ32">
        <v>29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ROW(Source!A106)</f>
        <v>106</v>
      </c>
      <c r="B33">
        <v>88041401</v>
      </c>
      <c r="C33">
        <v>88041398</v>
      </c>
      <c r="D33">
        <v>82561135</v>
      </c>
      <c r="E33">
        <v>114</v>
      </c>
      <c r="F33">
        <v>1</v>
      </c>
      <c r="G33">
        <v>1</v>
      </c>
      <c r="H33">
        <v>1</v>
      </c>
      <c r="I33" t="s">
        <v>262</v>
      </c>
      <c r="J33" t="s">
        <v>3</v>
      </c>
      <c r="K33" t="s">
        <v>263</v>
      </c>
      <c r="L33">
        <v>1369</v>
      </c>
      <c r="N33">
        <v>1013</v>
      </c>
      <c r="O33" t="s">
        <v>264</v>
      </c>
      <c r="P33" t="s">
        <v>264</v>
      </c>
      <c r="Q33">
        <v>1</v>
      </c>
      <c r="X33">
        <v>10.130000000000001</v>
      </c>
      <c r="Y33">
        <v>0</v>
      </c>
      <c r="Z33">
        <v>0</v>
      </c>
      <c r="AA33">
        <v>0</v>
      </c>
      <c r="AB33">
        <v>675.65</v>
      </c>
      <c r="AC33">
        <v>0</v>
      </c>
      <c r="AD33">
        <v>1</v>
      </c>
      <c r="AE33">
        <v>1</v>
      </c>
      <c r="AF33" t="s">
        <v>126</v>
      </c>
      <c r="AG33">
        <v>13.169000000000002</v>
      </c>
      <c r="AH33">
        <v>2</v>
      </c>
      <c r="AI33">
        <v>88041399</v>
      </c>
      <c r="AJ33">
        <v>30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ROW(Source!A106)</f>
        <v>106</v>
      </c>
      <c r="B34">
        <v>88041402</v>
      </c>
      <c r="C34">
        <v>88041398</v>
      </c>
      <c r="D34">
        <v>82561159</v>
      </c>
      <c r="E34">
        <v>114</v>
      </c>
      <c r="F34">
        <v>1</v>
      </c>
      <c r="G34">
        <v>1</v>
      </c>
      <c r="H34">
        <v>1</v>
      </c>
      <c r="I34" t="s">
        <v>265</v>
      </c>
      <c r="J34" t="s">
        <v>3</v>
      </c>
      <c r="K34" t="s">
        <v>266</v>
      </c>
      <c r="L34">
        <v>1369</v>
      </c>
      <c r="N34">
        <v>1013</v>
      </c>
      <c r="O34" t="s">
        <v>264</v>
      </c>
      <c r="P34" t="s">
        <v>264</v>
      </c>
      <c r="Q34">
        <v>1</v>
      </c>
      <c r="X34">
        <v>10.130000000000001</v>
      </c>
      <c r="Y34">
        <v>0</v>
      </c>
      <c r="Z34">
        <v>0</v>
      </c>
      <c r="AA34">
        <v>0</v>
      </c>
      <c r="AB34">
        <v>660.63</v>
      </c>
      <c r="AC34">
        <v>0</v>
      </c>
      <c r="AD34">
        <v>1</v>
      </c>
      <c r="AE34">
        <v>1</v>
      </c>
      <c r="AF34" t="s">
        <v>126</v>
      </c>
      <c r="AG34">
        <v>13.169000000000002</v>
      </c>
      <c r="AH34">
        <v>2</v>
      </c>
      <c r="AI34">
        <v>88041400</v>
      </c>
      <c r="AJ34">
        <v>31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21" x14ac:dyDescent="0.2">
      <c r="A1">
        <v>28</v>
      </c>
      <c r="B1">
        <v>1</v>
      </c>
      <c r="C1" t="s">
        <v>3</v>
      </c>
      <c r="D1" t="s">
        <v>3</v>
      </c>
      <c r="E1" t="s">
        <v>272</v>
      </c>
      <c r="F1" t="s">
        <v>272</v>
      </c>
      <c r="G1" t="s">
        <v>272</v>
      </c>
      <c r="H1" t="s">
        <v>3</v>
      </c>
      <c r="I1" t="s">
        <v>272</v>
      </c>
      <c r="J1" t="s">
        <v>272</v>
      </c>
      <c r="K1" t="s">
        <v>3</v>
      </c>
      <c r="L1" t="s">
        <v>3</v>
      </c>
      <c r="M1" t="s">
        <v>3</v>
      </c>
      <c r="N1" t="s">
        <v>3</v>
      </c>
      <c r="O1" t="s">
        <v>272</v>
      </c>
      <c r="P1" t="s">
        <v>3</v>
      </c>
      <c r="Q1" t="s">
        <v>3</v>
      </c>
      <c r="R1" t="s">
        <v>3</v>
      </c>
      <c r="S1" t="s">
        <v>273</v>
      </c>
      <c r="T1" t="s">
        <v>274</v>
      </c>
      <c r="U1" t="s">
        <v>275</v>
      </c>
    </row>
    <row r="2" spans="1:21" x14ac:dyDescent="0.2">
      <c r="A2">
        <v>28</v>
      </c>
      <c r="B2">
        <v>1</v>
      </c>
      <c r="C2" t="s">
        <v>3</v>
      </c>
      <c r="D2" t="s">
        <v>3</v>
      </c>
      <c r="E2" t="s">
        <v>276</v>
      </c>
      <c r="F2" t="s">
        <v>276</v>
      </c>
      <c r="G2" t="s">
        <v>276</v>
      </c>
      <c r="H2" t="s">
        <v>3</v>
      </c>
      <c r="I2" t="s">
        <v>276</v>
      </c>
      <c r="J2" t="s">
        <v>276</v>
      </c>
      <c r="K2" t="s">
        <v>3</v>
      </c>
      <c r="L2" t="s">
        <v>3</v>
      </c>
      <c r="M2" t="s">
        <v>3</v>
      </c>
      <c r="N2" t="s">
        <v>3</v>
      </c>
      <c r="O2" t="s">
        <v>276</v>
      </c>
      <c r="P2" t="s">
        <v>3</v>
      </c>
      <c r="Q2" t="s">
        <v>3</v>
      </c>
      <c r="R2" t="s">
        <v>3</v>
      </c>
      <c r="S2" t="s">
        <v>277</v>
      </c>
      <c r="T2" t="s">
        <v>279</v>
      </c>
      <c r="U2" t="s">
        <v>275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72598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03" x14ac:dyDescent="0.2">
      <c r="F12" t="str">
        <f>Source!F12</f>
        <v>Новый объект</v>
      </c>
      <c r="G12" t="str">
        <f>Source!G12</f>
        <v>Ремонт поврежденного КЛ-10 кВ в ячейке РУ-10 кВ ТП 1515 в направлении Тп-480 по адресу:М.О.г.Домодедово,мкр.Западный,Каширское шоссе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Смета по ФСНБ 421+557прРИМ</vt:lpstr>
      <vt:lpstr>Source</vt:lpstr>
      <vt:lpstr>SourceObSm</vt:lpstr>
      <vt:lpstr>SmtRes</vt:lpstr>
      <vt:lpstr>EtalonRes</vt:lpstr>
      <vt:lpstr>SrcPoprs</vt:lpstr>
      <vt:lpstr>SrcKA</vt:lpstr>
      <vt:lpstr>'Смета по ФСНБ 421+557прРИМ'!Заголовки_для_печати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2026-03-27T06:25:17Z</cp:lastPrinted>
  <dcterms:created xsi:type="dcterms:W3CDTF">2026-03-27T06:21:55Z</dcterms:created>
  <dcterms:modified xsi:type="dcterms:W3CDTF">2026-03-27T06:41:28Z</dcterms:modified>
</cp:coreProperties>
</file>