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store\Контрактная служба\Конкурентные закупки 2026г\1. 44-ФЗ\ЕАТ\98  Поставка для нужд полевиков НФ (ГРР)\ЗАПРОС 2\7. Рюкзаки\На размещение\"/>
    </mc:Choice>
  </mc:AlternateContent>
  <xr:revisionPtr revIDLastSave="0" documentId="13_ncr:1_{468E0CBD-907F-4ECC-97D4-8C7A5ADA32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оконч." sheetId="1" r:id="rId1"/>
    <sheet name="Расчет с учетом по годам" sheetId="2" r:id="rId2"/>
  </sheets>
  <definedNames>
    <definedName name="_xlnm._FilterDatabase" localSheetId="0" hidden="1">оконч.!$A$12:$D$20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N19" i="1"/>
  <c r="N18" i="1"/>
  <c r="N17" i="1"/>
  <c r="N16" i="1"/>
  <c r="N15" i="1"/>
  <c r="N14" i="1"/>
  <c r="K19" i="1"/>
  <c r="O19" i="1" s="1"/>
  <c r="P19" i="1" s="1"/>
  <c r="K18" i="1"/>
  <c r="O18" i="1" s="1"/>
  <c r="P18" i="1" s="1"/>
  <c r="K17" i="1"/>
  <c r="L17" i="1" s="1"/>
  <c r="M17" i="1" s="1"/>
  <c r="K16" i="1"/>
  <c r="O16" i="1" s="1"/>
  <c r="P16" i="1" s="1"/>
  <c r="K15" i="1"/>
  <c r="O15" i="1" s="1"/>
  <c r="P15" i="1" s="1"/>
  <c r="K14" i="1"/>
  <c r="L14" i="1" s="1"/>
  <c r="M14" i="1" s="1"/>
  <c r="J2" i="2"/>
  <c r="E15" i="2" s="1"/>
  <c r="K20" i="1" l="1"/>
  <c r="L15" i="1"/>
  <c r="M15" i="1" s="1"/>
  <c r="L16" i="1"/>
  <c r="M16" i="1" s="1"/>
  <c r="L18" i="1"/>
  <c r="M18" i="1" s="1"/>
  <c r="O14" i="1"/>
  <c r="P14" i="1" s="1"/>
  <c r="O17" i="1"/>
  <c r="P17" i="1" s="1"/>
  <c r="L19" i="1"/>
  <c r="M19" i="1" s="1"/>
  <c r="D15" i="2"/>
  <c r="F15" i="2" s="1"/>
  <c r="B4" i="2"/>
  <c r="C4" i="2" s="1"/>
  <c r="B3" i="2"/>
  <c r="C3" i="2" s="1"/>
  <c r="B2" i="2"/>
  <c r="C2" i="2" s="1"/>
  <c r="B1" i="2" l="1"/>
  <c r="C1" i="2" l="1"/>
  <c r="J20" i="1"/>
  <c r="I20" i="1" l="1"/>
  <c r="H20" i="1"/>
  <c r="B5" i="2" l="1"/>
  <c r="P20" i="1"/>
  <c r="B14" i="2" l="1"/>
  <c r="C5" i="2"/>
  <c r="C14" i="2" s="1"/>
</calcChain>
</file>

<file path=xl/sharedStrings.xml><?xml version="1.0" encoding="utf-8"?>
<sst xmlns="http://schemas.openxmlformats.org/spreadsheetml/2006/main" count="47" uniqueCount="42">
  <si>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</si>
  <si>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</si>
  <si>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</si>
  <si>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</si>
  <si>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</si>
  <si>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</si>
  <si>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</si>
  <si>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</si>
  <si>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НМЦК контракта с учетом округления цены за единицу (руб.)</t>
  </si>
  <si>
    <t xml:space="preserve">ИТОГО </t>
  </si>
  <si>
    <t xml:space="preserve">* Используемый метод определения НМЦК с обоснованием:
В связи с наличием конкурентоспособной среды, при расчете начальной (максимальной) цены контракта применялся метод сопоставления рыночных цен (анализ рынка). Данный метод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  </t>
  </si>
  <si>
    <t>Всего:</t>
  </si>
  <si>
    <t>№ п/п</t>
  </si>
  <si>
    <t>Ед. изм.</t>
  </si>
  <si>
    <t>Наименование объекта закупки</t>
  </si>
  <si>
    <t xml:space="preserve">Дата составления: 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</si>
  <si>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</si>
  <si>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В месяц (округлено)</t>
  </si>
  <si>
    <t>Всего</t>
  </si>
  <si>
    <t>По годам</t>
  </si>
  <si>
    <t>Итого</t>
  </si>
  <si>
    <t>округлено</t>
  </si>
  <si>
    <t>шт</t>
  </si>
  <si>
    <t>Поставка рюкзаков для нужд полевого отряда  ФГБУ "ВНИГНИ"</t>
  </si>
  <si>
    <t>На основании проведенного анализа рынка и расчетов, НМЦК составляет: 22 236 (Двадцать две тысячи двести тридцать шесть ) рублей 00 копеек</t>
  </si>
  <si>
    <t xml:space="preserve">Поставщик 1 вх.  № КС-468 от 18.05.2026       </t>
  </si>
  <si>
    <t xml:space="preserve">Поставщик № 2  вх. № КС-469 от 18.05.2026    </t>
  </si>
  <si>
    <t xml:space="preserve">Поставщик № КС-470 от 18.05.2026    </t>
  </si>
  <si>
    <t xml:space="preserve">Заказчиком установлена начальная (максимальная) цена контракта: 21 449,00 руб.   (Двадцать одна тысяча четыреста сорок девять) рублей 00 копеек </t>
  </si>
  <si>
    <t>Обоснование начальной (максимальной) цены контракта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</si>
  <si>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</si>
  <si>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</si>
  <si>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</si>
  <si>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
Расчет выполнен в соответствии с Методическими рекомендациями, утвержденными приказом МЭР РФ от 02.10.2013 №567</t>
  </si>
  <si>
    <t>РАСЧЕТ НМЦК</t>
  </si>
  <si>
    <t>Расчет НМЦК (рын) произведен по формуле:</t>
  </si>
  <si>
    <t xml:space="preserve">Драйбэг большой </t>
  </si>
  <si>
    <t xml:space="preserve">Драйбэг средний </t>
  </si>
  <si>
    <t>Рюкзак РО Ангара-100</t>
  </si>
  <si>
    <t>Рюкзак Кодар</t>
  </si>
  <si>
    <t xml:space="preserve">Рюкзак тактический RU 010 </t>
  </si>
  <si>
    <t xml:space="preserve">Рюкзак TRAMP Squad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</si>
</sst>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7" fillId="0" borderId="0"/>
    <xf numFmtId="0" fontId="28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center" vertical="top" wrapText="1"/>
    </xf>
    <xf numFmtId="49" fontId="17" fillId="0" borderId="10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0" xfId="0" applyFont="1"/>
    <xf numFmtId="0" fontId="14" fillId="0" borderId="9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top"/>
    </xf>
    <xf numFmtId="0" fontId="2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 applyProtection="1">
      <alignment horizontal="left"/>
      <protection locked="0"/>
    </xf>
    <xf numFmtId="4" fontId="12" fillId="0" borderId="0" xfId="0" applyNumberFormat="1" applyFont="1"/>
    <xf numFmtId="0" fontId="12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4" fontId="0" fillId="0" borderId="0" xfId="0" applyNumberFormat="1"/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9" fillId="0" borderId="1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14" fontId="12" fillId="0" borderId="0" xfId="0" applyNumberFormat="1" applyFont="1"/>
    <xf numFmtId="3" fontId="0" fillId="0" borderId="0" xfId="0" applyNumberForma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20" xfId="0" applyFont="1" applyBorder="1"/>
    <xf numFmtId="0" fontId="0" fillId="0" borderId="21" xfId="0" applyBorder="1"/>
    <xf numFmtId="3" fontId="26" fillId="0" borderId="22" xfId="0" applyNumberFormat="1" applyFont="1" applyBorder="1"/>
    <xf numFmtId="3" fontId="26" fillId="0" borderId="10" xfId="0" applyNumberFormat="1" applyFont="1" applyBorder="1"/>
    <xf numFmtId="3" fontId="26" fillId="0" borderId="16" xfId="0" applyNumberFormat="1" applyFont="1" applyBorder="1"/>
    <xf numFmtId="3" fontId="26" fillId="0" borderId="19" xfId="0" applyNumberFormat="1" applyFont="1" applyBorder="1"/>
    <xf numFmtId="0" fontId="0" fillId="0" borderId="10" xfId="0" applyBorder="1"/>
    <xf numFmtId="0" fontId="14" fillId="0" borderId="14" xfId="3" applyFont="1" applyBorder="1" applyAlignment="1">
      <alignment horizontal="left" vertical="center" wrapText="1" shrinkToFit="1"/>
    </xf>
    <xf numFmtId="0" fontId="14" fillId="0" borderId="4" xfId="3" applyFont="1" applyBorder="1" applyAlignment="1">
      <alignment horizontal="center" vertical="center"/>
    </xf>
    <xf numFmtId="2" fontId="14" fillId="0" borderId="4" xfId="3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0" fillId="0" borderId="0" xfId="0" applyFont="1"/>
    <xf numFmtId="0" fontId="14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164" fontId="12" fillId="0" borderId="0" xfId="0" applyNumberFormat="1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" fillId="0" borderId="23" xfId="0" applyFont="1" applyBorder="1"/>
    <xf numFmtId="0" fontId="4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FCC29FB5-01A0-4008-8CDB-B7F23BF88A14}"/>
    <cellStyle name="Обычный 4" xfId="3" xr:uid="{E4A3223B-1DFC-4A41-AF4A-27517FB6F1D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144236</xdr:colOff>
      <xdr:row>12</xdr:row>
      <xdr:rowOff>568325</xdr:rowOff>
    </xdr:from>
    <xdr:to>
      <xdr:col>11</xdr:col>
      <xdr:colOff>847725</xdr:colOff>
      <xdr:row>12</xdr:row>
      <xdr:rowOff>873125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8136" y="2359025"/>
          <a:ext cx="703489" cy="304800"/>
        </a:xfrm>
        <a:prstGeom prst="rect">
          <a:avLst/>
        </a:prstGeom>
      </xdr:spPr>
    </xdr:pic>
    <xdr:clientData/>
  </xdr:twoCellAnchor>
  <xdr:absoluteAnchor>
    <xdr:pos x="11738041" y="8083550"/>
    <xdr:ext cx="1389934" cy="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38041" y="4345940"/>
          <a:ext cx="1389934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13</xdr:col>
      <xdr:colOff>405564</xdr:colOff>
      <xdr:row>12</xdr:row>
      <xdr:rowOff>1514475</xdr:rowOff>
    </xdr:from>
    <xdr:to>
      <xdr:col>13</xdr:col>
      <xdr:colOff>1504950</xdr:colOff>
      <xdr:row>12</xdr:row>
      <xdr:rowOff>1533525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538F01-1DCB-4150-B584-7DD1B651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6489" y="3343275"/>
          <a:ext cx="1099386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</xdr:colOff>
      <xdr:row>9</xdr:row>
      <xdr:rowOff>20320</xdr:rowOff>
    </xdr:from>
    <xdr:to>
      <xdr:col>1</xdr:col>
      <xdr:colOff>1585595</xdr:colOff>
      <xdr:row>11</xdr:row>
      <xdr:rowOff>11430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E4173AA4-B431-43AE-82C2-389C7A78BC80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445" y="2753995"/>
          <a:ext cx="1584325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2"/>
  <sheetViews>
    <sheetView tabSelected="1" topLeftCell="A11" workbookViewId="0">
      <selection activeCell="A25" sqref="A25:XFD28"/>
    </sheetView>
  </sheetViews>
  <sheetFormatPr defaultColWidth="9.140625" defaultRowHeight="12.75" x14ac:dyDescent="0.2"/>
  <cols>
    <col min="1" max="1" width="3.85546875" style="1" customWidth="1"/>
    <col min="2" max="2" width="42.85546875" style="1" customWidth="1"/>
    <col min="3" max="3" width="8.42578125" style="1" customWidth="1"/>
    <col min="4" max="4" width="8.7109375" style="1" customWidth="1"/>
    <col min="5" max="5" width="15.140625" style="1" customWidth="1"/>
    <col min="6" max="6" width="17.42578125" style="1" customWidth="1"/>
    <col min="7" max="7" width="14.5703125" style="1" customWidth="1"/>
    <col min="8" max="8" width="0.42578125" style="1" hidden="1" customWidth="1"/>
    <col min="9" max="9" width="0.140625" style="1" hidden="1" customWidth="1"/>
    <col min="10" max="10" width="0.42578125" style="1" hidden="1" customWidth="1"/>
    <col min="11" max="11" width="13" style="1" customWidth="1"/>
    <col min="12" max="12" width="14.5703125" style="1" customWidth="1"/>
    <col min="13" max="13" width="15.5703125" style="1" customWidth="1"/>
    <col min="14" max="14" width="23.42578125" style="1" customWidth="1"/>
    <col min="15" max="15" width="13.85546875" style="1" customWidth="1"/>
    <col min="16" max="16" width="13" style="1" customWidth="1"/>
    <col min="17" max="17" width="0.140625" style="1" customWidth="1"/>
    <col min="18" max="29" width="9.140625" style="1" hidden="1" customWidth="1"/>
    <col min="30" max="30" width="2.140625" style="1" hidden="1" customWidth="1"/>
    <col min="31" max="16384" width="9.140625" style="1"/>
  </cols>
  <sheetData>
    <row r="1" spans="1:30" x14ac:dyDescent="0.2">
      <c r="N1" s="7"/>
      <c r="O1" s="7"/>
      <c r="P1" s="34"/>
    </row>
    <row r="2" spans="1:30" ht="21.6" customHeight="1" x14ac:dyDescent="0.2">
      <c r="N2" s="7"/>
      <c r="O2" s="7"/>
      <c r="P2" s="34"/>
    </row>
    <row r="3" spans="1:30" ht="20.45" customHeight="1" x14ac:dyDescent="0.2">
      <c r="N3" s="7"/>
      <c r="O3" s="7"/>
      <c r="P3" s="34"/>
    </row>
    <row r="4" spans="1:30" ht="20.45" customHeight="1" x14ac:dyDescent="0.2">
      <c r="A4" s="102" t="s">
        <v>29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AD4" s="103"/>
    </row>
    <row r="5" spans="1:30" ht="20.45" customHeight="1" x14ac:dyDescent="0.2">
      <c r="A5" s="104" t="s">
        <v>30</v>
      </c>
      <c r="B5" s="104"/>
      <c r="C5" s="108" t="s">
        <v>31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10"/>
    </row>
    <row r="6" spans="1:30" ht="39.75" customHeight="1" x14ac:dyDescent="0.2">
      <c r="A6" s="104" t="s">
        <v>32</v>
      </c>
      <c r="B6" s="104"/>
      <c r="C6" s="108" t="s">
        <v>33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10"/>
    </row>
    <row r="7" spans="1:30" ht="20.45" customHeight="1" x14ac:dyDescent="0.2">
      <c r="A7" s="105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13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7"/>
    </row>
    <row r="8" spans="1:30" ht="20.45" customHeight="1" x14ac:dyDescent="0.2">
      <c r="A8" s="111" t="s">
        <v>23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7"/>
    </row>
    <row r="9" spans="1:30" ht="20.45" customHeight="1" x14ac:dyDescent="0.2">
      <c r="B9" s="1" t="s">
        <v>35</v>
      </c>
      <c r="N9" s="7"/>
      <c r="O9" s="7"/>
      <c r="P9" s="34"/>
    </row>
    <row r="10" spans="1:30" ht="27.6" customHeight="1" x14ac:dyDescent="0.2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2"/>
      <c r="P10" s="2"/>
    </row>
    <row r="11" spans="1:30" ht="22.5" customHeight="1" x14ac:dyDescent="0.2">
      <c r="A11" s="74"/>
      <c r="B11" s="75"/>
      <c r="C11" s="75"/>
      <c r="D11" s="76"/>
      <c r="E11" s="76"/>
      <c r="F11" s="76"/>
      <c r="G11" s="76"/>
      <c r="H11" s="77"/>
      <c r="I11" s="77"/>
      <c r="J11" s="76"/>
      <c r="K11" s="76"/>
      <c r="L11" s="76"/>
      <c r="M11" s="76"/>
      <c r="N11" s="76"/>
      <c r="O11" s="76"/>
      <c r="P11" s="77"/>
    </row>
    <row r="12" spans="1:30" s="7" customFormat="1" ht="26.25" customHeight="1" x14ac:dyDescent="0.2">
      <c r="A12" s="92" t="s">
        <v>12</v>
      </c>
      <c r="B12" s="97" t="s">
        <v>14</v>
      </c>
      <c r="C12" s="94" t="s">
        <v>13</v>
      </c>
      <c r="D12" s="98" t="s">
        <v>0</v>
      </c>
      <c r="E12" s="86" t="s">
        <v>1</v>
      </c>
      <c r="F12" s="87"/>
      <c r="G12" s="88"/>
      <c r="H12" s="6"/>
      <c r="I12" s="6"/>
      <c r="J12" s="95"/>
      <c r="K12" s="83" t="s">
        <v>2</v>
      </c>
      <c r="L12" s="84"/>
      <c r="M12" s="85"/>
      <c r="N12" s="80" t="s">
        <v>3</v>
      </c>
      <c r="O12" s="81"/>
      <c r="P12" s="82"/>
    </row>
    <row r="13" spans="1:30" s="14" customFormat="1" ht="114.75" customHeight="1" x14ac:dyDescent="0.2">
      <c r="A13" s="93"/>
      <c r="B13" s="97"/>
      <c r="C13" s="94"/>
      <c r="D13" s="99"/>
      <c r="E13" s="8" t="s">
        <v>25</v>
      </c>
      <c r="F13" s="8" t="s">
        <v>26</v>
      </c>
      <c r="G13" s="8" t="s">
        <v>27</v>
      </c>
      <c r="H13" s="9"/>
      <c r="I13" s="9"/>
      <c r="J13" s="96"/>
      <c r="K13" s="10" t="s">
        <v>4</v>
      </c>
      <c r="L13" s="11" t="s">
        <v>5</v>
      </c>
      <c r="M13" s="12" t="s">
        <v>16</v>
      </c>
      <c r="N13" s="12" t="s">
        <v>6</v>
      </c>
      <c r="O13" s="13" t="s">
        <v>7</v>
      </c>
      <c r="P13" s="13" t="s">
        <v>8</v>
      </c>
    </row>
    <row r="14" spans="1:30" s="7" customFormat="1" ht="18.75" customHeight="1" x14ac:dyDescent="0.2">
      <c r="A14" s="61">
        <v>1</v>
      </c>
      <c r="B14" s="57" t="s">
        <v>36</v>
      </c>
      <c r="C14" s="58" t="s">
        <v>22</v>
      </c>
      <c r="D14" s="59">
        <v>2</v>
      </c>
      <c r="E14" s="45">
        <v>2180</v>
      </c>
      <c r="F14" s="17">
        <v>2333</v>
      </c>
      <c r="G14" s="18">
        <v>2267.1999999999998</v>
      </c>
      <c r="H14" s="18"/>
      <c r="I14" s="18"/>
      <c r="J14" s="19"/>
      <c r="K14" s="20">
        <f t="shared" ref="K14:K19" si="0">AVERAGE(E14:G14)</f>
        <v>2260.0666666666666</v>
      </c>
      <c r="L14" s="21">
        <f t="shared" ref="L14:L19" si="1">SQRT(SUM(POWER(E14-K14, 2), POWER(F14-K14, 2), POWER(G14-K14, 2))/(COLUMNS(E14:G14)-1))</f>
        <v>76.749028224032472</v>
      </c>
      <c r="M14" s="21">
        <f t="shared" ref="M14:M19" si="2">L14/K14*100</f>
        <v>3.3958745268885497</v>
      </c>
      <c r="N14" s="20">
        <f t="shared" ref="N14:N19" si="3">D14/3*SUM(E14:G14)</f>
        <v>4520.1333333333332</v>
      </c>
      <c r="O14" s="20">
        <f t="shared" ref="O14:O19" si="4">K14</f>
        <v>2260.0666666666666</v>
      </c>
      <c r="P14" s="20">
        <f t="shared" ref="P14:P19" si="5">ROUND(O14*D14,0)</f>
        <v>4520</v>
      </c>
    </row>
    <row r="15" spans="1:30" s="7" customFormat="1" ht="18.75" customHeight="1" x14ac:dyDescent="0.2">
      <c r="A15" s="61">
        <v>2</v>
      </c>
      <c r="B15" s="57" t="s">
        <v>37</v>
      </c>
      <c r="C15" s="58" t="s">
        <v>22</v>
      </c>
      <c r="D15" s="59">
        <v>1</v>
      </c>
      <c r="E15" s="45">
        <v>1845</v>
      </c>
      <c r="F15" s="17">
        <v>1975</v>
      </c>
      <c r="G15" s="18">
        <v>1918.8</v>
      </c>
      <c r="H15" s="18"/>
      <c r="I15" s="18"/>
      <c r="J15" s="19"/>
      <c r="K15" s="20">
        <f t="shared" si="0"/>
        <v>1912.9333333333334</v>
      </c>
      <c r="L15" s="21">
        <f t="shared" si="1"/>
        <v>65.198261735519708</v>
      </c>
      <c r="M15" s="21">
        <f t="shared" si="2"/>
        <v>3.4082871890736581</v>
      </c>
      <c r="N15" s="20">
        <f t="shared" si="3"/>
        <v>1912.9333333333334</v>
      </c>
      <c r="O15" s="20">
        <f t="shared" si="4"/>
        <v>1912.9333333333334</v>
      </c>
      <c r="P15" s="20">
        <f t="shared" si="5"/>
        <v>1913</v>
      </c>
    </row>
    <row r="16" spans="1:30" s="7" customFormat="1" ht="18.75" customHeight="1" x14ac:dyDescent="0.2">
      <c r="A16" s="61">
        <v>3</v>
      </c>
      <c r="B16" s="57" t="s">
        <v>38</v>
      </c>
      <c r="C16" s="58" t="s">
        <v>22</v>
      </c>
      <c r="D16" s="59">
        <v>2</v>
      </c>
      <c r="E16" s="45">
        <v>3425</v>
      </c>
      <c r="F16" s="17">
        <v>3665</v>
      </c>
      <c r="G16" s="18">
        <v>3562</v>
      </c>
      <c r="H16" s="18"/>
      <c r="I16" s="18"/>
      <c r="J16" s="19"/>
      <c r="K16" s="20">
        <f t="shared" si="0"/>
        <v>3550.6666666666665</v>
      </c>
      <c r="L16" s="21">
        <f t="shared" si="1"/>
        <v>120.4007198206611</v>
      </c>
      <c r="M16" s="21">
        <f t="shared" si="2"/>
        <v>3.3909327775251907</v>
      </c>
      <c r="N16" s="20">
        <f t="shared" si="3"/>
        <v>7101.333333333333</v>
      </c>
      <c r="O16" s="20">
        <f t="shared" si="4"/>
        <v>3550.6666666666665</v>
      </c>
      <c r="P16" s="20">
        <f t="shared" si="5"/>
        <v>7101</v>
      </c>
    </row>
    <row r="17" spans="1:30" s="7" customFormat="1" ht="23.45" customHeight="1" x14ac:dyDescent="0.2">
      <c r="A17" s="61">
        <v>4</v>
      </c>
      <c r="B17" s="57" t="s">
        <v>39</v>
      </c>
      <c r="C17" s="58" t="s">
        <v>22</v>
      </c>
      <c r="D17" s="59">
        <v>1</v>
      </c>
      <c r="E17" s="45">
        <v>2450</v>
      </c>
      <c r="F17" s="17">
        <v>2622</v>
      </c>
      <c r="G17" s="18">
        <v>2548</v>
      </c>
      <c r="H17" s="18"/>
      <c r="I17" s="18"/>
      <c r="J17" s="19"/>
      <c r="K17" s="20">
        <f t="shared" si="0"/>
        <v>2540</v>
      </c>
      <c r="L17" s="21">
        <f t="shared" si="1"/>
        <v>86.278618440491968</v>
      </c>
      <c r="M17" s="21">
        <f t="shared" si="2"/>
        <v>3.3967960015941721</v>
      </c>
      <c r="N17" s="20">
        <f t="shared" si="3"/>
        <v>2540</v>
      </c>
      <c r="O17" s="20">
        <f t="shared" si="4"/>
        <v>2540</v>
      </c>
      <c r="P17" s="20">
        <f t="shared" si="5"/>
        <v>2540</v>
      </c>
    </row>
    <row r="18" spans="1:30" s="7" customFormat="1" ht="18.75" customHeight="1" x14ac:dyDescent="0.2">
      <c r="A18" s="61">
        <v>5</v>
      </c>
      <c r="B18" s="57" t="s">
        <v>40</v>
      </c>
      <c r="C18" s="58" t="s">
        <v>22</v>
      </c>
      <c r="D18" s="59">
        <v>1</v>
      </c>
      <c r="E18" s="45">
        <v>2678</v>
      </c>
      <c r="F18" s="17">
        <v>2866</v>
      </c>
      <c r="G18" s="18">
        <v>2785.12</v>
      </c>
      <c r="H18" s="18"/>
      <c r="I18" s="18"/>
      <c r="J18" s="19"/>
      <c r="K18" s="20">
        <f t="shared" si="0"/>
        <v>2776.373333333333</v>
      </c>
      <c r="L18" s="21">
        <f t="shared" si="1"/>
        <v>94.304708966908606</v>
      </c>
      <c r="M18" s="21">
        <f t="shared" si="2"/>
        <v>3.396686887699131</v>
      </c>
      <c r="N18" s="20">
        <f t="shared" si="3"/>
        <v>2776.373333333333</v>
      </c>
      <c r="O18" s="20">
        <f t="shared" si="4"/>
        <v>2776.373333333333</v>
      </c>
      <c r="P18" s="20">
        <f t="shared" si="5"/>
        <v>2776</v>
      </c>
    </row>
    <row r="19" spans="1:30" s="7" customFormat="1" ht="18.75" customHeight="1" x14ac:dyDescent="0.2">
      <c r="A19" s="61">
        <v>6</v>
      </c>
      <c r="B19" s="57" t="s">
        <v>41</v>
      </c>
      <c r="C19" s="58" t="s">
        <v>22</v>
      </c>
      <c r="D19" s="59">
        <v>1</v>
      </c>
      <c r="E19" s="45">
        <v>3266</v>
      </c>
      <c r="F19" s="17">
        <v>3495</v>
      </c>
      <c r="G19" s="18">
        <v>3396.64</v>
      </c>
      <c r="H19" s="18"/>
      <c r="I19" s="18"/>
      <c r="J19" s="19"/>
      <c r="K19" s="20">
        <f t="shared" si="0"/>
        <v>3385.8799999999997</v>
      </c>
      <c r="L19" s="21">
        <f t="shared" si="1"/>
        <v>114.87855848677768</v>
      </c>
      <c r="M19" s="21">
        <f t="shared" si="2"/>
        <v>3.3928715278384849</v>
      </c>
      <c r="N19" s="20">
        <f t="shared" si="3"/>
        <v>3385.8799999999997</v>
      </c>
      <c r="O19" s="20">
        <f t="shared" si="4"/>
        <v>3385.8799999999997</v>
      </c>
      <c r="P19" s="20">
        <f t="shared" si="5"/>
        <v>3386</v>
      </c>
    </row>
    <row r="20" spans="1:30" s="23" customFormat="1" ht="18" customHeight="1" x14ac:dyDescent="0.2">
      <c r="A20" s="38"/>
      <c r="B20" s="39" t="s">
        <v>11</v>
      </c>
      <c r="C20" s="40"/>
      <c r="D20" s="41"/>
      <c r="E20" s="42">
        <f>E14*D14+E15*D15+E16*D16+E17*D17+E18*D18+E19*D19</f>
        <v>21449</v>
      </c>
      <c r="F20" s="42">
        <f>F14*D14+F15*D15+F16*D16+F17*D17+F18*D18+F19*D19</f>
        <v>22954</v>
      </c>
      <c r="G20" s="42">
        <f>G14*D14+G15*D15+G16*D16+G17*D17+G18*D18+G19*D19</f>
        <v>22306.959999999999</v>
      </c>
      <c r="H20" s="42" t="e">
        <f>SUM(#REF!)</f>
        <v>#REF!</v>
      </c>
      <c r="I20" s="42" t="e">
        <f>SUM(#REF!)</f>
        <v>#REF!</v>
      </c>
      <c r="J20" s="42" t="e">
        <f>SUM(#REF!)</f>
        <v>#REF!</v>
      </c>
      <c r="K20" s="60">
        <f>AVERAGE(E20:G20)</f>
        <v>22236.653333333332</v>
      </c>
      <c r="L20" s="43"/>
      <c r="M20" s="44"/>
      <c r="N20" s="78" t="s">
        <v>9</v>
      </c>
      <c r="O20" s="79"/>
      <c r="P20" s="44">
        <f>SUM(P14:P19)</f>
        <v>22236</v>
      </c>
    </row>
    <row r="21" spans="1:30" s="23" customFormat="1" ht="25.5" customHeight="1" x14ac:dyDescent="0.25">
      <c r="A21" s="89" t="s">
        <v>24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1:30" s="23" customFormat="1" ht="38.25" customHeight="1" x14ac:dyDescent="0.25">
      <c r="A22" s="71" t="s">
        <v>28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</row>
    <row r="23" spans="1:30" s="7" customFormat="1" ht="23.45" customHeight="1" x14ac:dyDescent="0.2">
      <c r="A23" s="62" t="s">
        <v>10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30" s="7" customFormat="1" ht="23.4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30" s="7" customFormat="1" ht="18" hidden="1" customHeight="1" x14ac:dyDescent="0.2">
      <c r="A25" s="24"/>
      <c r="B25" s="67"/>
      <c r="C25" s="68"/>
      <c r="G25" s="27"/>
      <c r="H25" s="27"/>
      <c r="I25" s="27"/>
      <c r="J25" s="27"/>
      <c r="K25" s="27"/>
      <c r="P25" s="28"/>
    </row>
    <row r="26" spans="1:30" s="31" customFormat="1" ht="24.75" hidden="1" customHeight="1" x14ac:dyDescent="0.2">
      <c r="A26" s="29"/>
      <c r="B26" s="67"/>
      <c r="C26" s="68"/>
      <c r="D26" s="25"/>
      <c r="E26" s="7"/>
      <c r="F26" s="30"/>
      <c r="G26" s="27"/>
      <c r="H26" s="27"/>
      <c r="I26" s="27"/>
      <c r="J26" s="27"/>
      <c r="K26" s="27"/>
      <c r="L26" s="26"/>
    </row>
    <row r="27" spans="1:30" s="31" customFormat="1" ht="21.75" hidden="1" customHeight="1" x14ac:dyDescent="0.2">
      <c r="A27" s="29"/>
      <c r="B27" s="22"/>
      <c r="C27" s="7"/>
      <c r="D27" s="7"/>
      <c r="E27" s="7"/>
      <c r="F27" s="32"/>
      <c r="G27" s="69"/>
      <c r="H27" s="70"/>
      <c r="I27" s="70"/>
      <c r="J27" s="70"/>
      <c r="K27" s="70"/>
      <c r="L27" s="26"/>
    </row>
    <row r="28" spans="1:30" s="31" customFormat="1" ht="24" hidden="1" customHeight="1" x14ac:dyDescent="0.2">
      <c r="A28" s="29"/>
      <c r="B28" s="22"/>
      <c r="C28" s="7"/>
      <c r="D28" s="7"/>
      <c r="E28" s="7"/>
      <c r="F28" s="32"/>
      <c r="G28" s="27"/>
      <c r="H28" s="27"/>
      <c r="I28" s="27"/>
      <c r="J28" s="27"/>
      <c r="K28" s="27"/>
      <c r="L28" s="26"/>
    </row>
    <row r="29" spans="1:30" s="31" customFormat="1" ht="18" customHeight="1" x14ac:dyDescent="0.2">
      <c r="A29" s="29"/>
      <c r="B29" s="37" t="s">
        <v>15</v>
      </c>
      <c r="C29" s="46">
        <v>46161</v>
      </c>
      <c r="D29" s="7"/>
      <c r="E29" s="7"/>
      <c r="F29" s="32"/>
      <c r="G29" s="27"/>
      <c r="H29" s="27"/>
      <c r="I29" s="27"/>
      <c r="J29" s="27"/>
      <c r="K29" s="27"/>
      <c r="L29" s="26"/>
    </row>
    <row r="30" spans="1:30" s="31" customFormat="1" ht="18" customHeight="1" x14ac:dyDescent="0.2">
      <c r="A30" s="29"/>
      <c r="B30" s="29"/>
      <c r="C30" s="66"/>
      <c r="D30" s="66"/>
      <c r="E30" s="66"/>
      <c r="F30" s="30"/>
      <c r="G30" s="33"/>
      <c r="H30" s="33"/>
      <c r="I30" s="33"/>
      <c r="J30" s="25"/>
      <c r="K30" s="25"/>
      <c r="L30" s="25"/>
    </row>
    <row r="31" spans="1:30" ht="13.5" customHeight="1" x14ac:dyDescent="0.25">
      <c r="A31" s="64"/>
      <c r="B31" s="64"/>
      <c r="C31" s="3"/>
      <c r="D31" s="3"/>
      <c r="E31" s="3"/>
      <c r="F31" s="3"/>
      <c r="G31" s="3"/>
      <c r="H31" s="3"/>
      <c r="I31" s="3"/>
    </row>
    <row r="32" spans="1:30" s="4" customFormat="1" ht="39.6" customHeight="1" x14ac:dyDescent="0.25">
      <c r="A32" s="63"/>
      <c r="B32" s="63"/>
      <c r="C32" s="63"/>
      <c r="D32" s="63"/>
      <c r="E32" s="63"/>
      <c r="F32" s="5"/>
      <c r="G32" s="65"/>
      <c r="H32" s="65"/>
      <c r="I32" s="65"/>
      <c r="J32" s="65"/>
      <c r="K32" s="65"/>
      <c r="L32" s="65"/>
    </row>
  </sheetData>
  <autoFilter ref="A12:D20" xr:uid="{00000000-0009-0000-0000-000000000000}"/>
  <mergeCells count="28">
    <mergeCell ref="A8:P8"/>
    <mergeCell ref="A7:P7"/>
    <mergeCell ref="A4:P4"/>
    <mergeCell ref="A5:B5"/>
    <mergeCell ref="C5:AD5"/>
    <mergeCell ref="A6:B6"/>
    <mergeCell ref="C6:AD6"/>
    <mergeCell ref="A22:AD22"/>
    <mergeCell ref="C10:N10"/>
    <mergeCell ref="A11:P11"/>
    <mergeCell ref="N20:O20"/>
    <mergeCell ref="N12:P12"/>
    <mergeCell ref="K12:M12"/>
    <mergeCell ref="E12:G12"/>
    <mergeCell ref="A21:P21"/>
    <mergeCell ref="A12:A13"/>
    <mergeCell ref="C12:C13"/>
    <mergeCell ref="J12:J13"/>
    <mergeCell ref="B12:B13"/>
    <mergeCell ref="D12:D13"/>
    <mergeCell ref="A23:P23"/>
    <mergeCell ref="A32:E32"/>
    <mergeCell ref="A31:B31"/>
    <mergeCell ref="G32:L32"/>
    <mergeCell ref="C30:E30"/>
    <mergeCell ref="B25:C25"/>
    <mergeCell ref="B26:C26"/>
    <mergeCell ref="G27:K27"/>
  </mergeCells>
  <phoneticPr fontId="10" type="noConversion"/>
  <pageMargins left="0.25" right="0.25" top="0.75" bottom="0.75" header="0.3" footer="0.3"/>
  <pageSetup paperSize="9" scale="71" fitToHeight="0" orientation="landscape" r:id="rId1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0DB1-57BE-403D-887B-897B623BCA3F}">
  <dimension ref="A1:J15"/>
  <sheetViews>
    <sheetView workbookViewId="0">
      <selection activeCell="I13" sqref="I13"/>
    </sheetView>
  </sheetViews>
  <sheetFormatPr defaultRowHeight="15" x14ac:dyDescent="0.25"/>
  <cols>
    <col min="2" max="3" width="11.7109375" customWidth="1"/>
    <col min="4" max="4" width="12.42578125" customWidth="1"/>
    <col min="6" max="6" width="9.7109375" style="35" bestFit="1" customWidth="1"/>
  </cols>
  <sheetData>
    <row r="1" spans="1:10" ht="15.75" thickBot="1" x14ac:dyDescent="0.3">
      <c r="A1" s="15">
        <v>1</v>
      </c>
      <c r="B1" s="16" t="e">
        <f>оконч.!#REF!</f>
        <v>#REF!</v>
      </c>
      <c r="C1" s="36" t="e">
        <f>B1*A1</f>
        <v>#REF!</v>
      </c>
      <c r="D1" s="35"/>
    </row>
    <row r="2" spans="1:10" ht="15.75" thickBot="1" x14ac:dyDescent="0.3">
      <c r="A2" s="15">
        <v>1</v>
      </c>
      <c r="B2" s="16" t="e">
        <f>оконч.!#REF!</f>
        <v>#REF!</v>
      </c>
      <c r="C2" s="36" t="e">
        <f>B2*A2</f>
        <v>#REF!</v>
      </c>
      <c r="D2" s="35"/>
      <c r="H2" s="50" t="s">
        <v>17</v>
      </c>
      <c r="I2" s="51"/>
      <c r="J2" s="52">
        <f>C15/20</f>
        <v>26900</v>
      </c>
    </row>
    <row r="3" spans="1:10" x14ac:dyDescent="0.25">
      <c r="A3" s="15">
        <v>30</v>
      </c>
      <c r="B3" s="16" t="e">
        <f>оконч.!#REF!</f>
        <v>#REF!</v>
      </c>
      <c r="C3" s="36" t="e">
        <f>B3*A3</f>
        <v>#REF!</v>
      </c>
      <c r="D3" s="35"/>
    </row>
    <row r="4" spans="1:10" x14ac:dyDescent="0.25">
      <c r="A4" s="15">
        <v>10</v>
      </c>
      <c r="B4" s="16" t="e">
        <f>оконч.!#REF!</f>
        <v>#REF!</v>
      </c>
      <c r="C4" s="36" t="e">
        <f>B4*A4</f>
        <v>#REF!</v>
      </c>
      <c r="D4" s="35"/>
    </row>
    <row r="5" spans="1:10" x14ac:dyDescent="0.25">
      <c r="A5" s="15">
        <v>20</v>
      </c>
      <c r="B5" s="16" t="e">
        <f>оконч.!#REF!</f>
        <v>#REF!</v>
      </c>
      <c r="C5" s="36" t="e">
        <f>B5*A5</f>
        <v>#REF!</v>
      </c>
      <c r="D5" s="35"/>
    </row>
    <row r="6" spans="1:10" x14ac:dyDescent="0.25">
      <c r="A6" s="15"/>
      <c r="B6" s="16"/>
      <c r="C6" s="36"/>
      <c r="D6" s="35"/>
    </row>
    <row r="7" spans="1:10" x14ac:dyDescent="0.25">
      <c r="A7" s="15"/>
      <c r="B7" s="16"/>
      <c r="C7" s="36"/>
      <c r="D7" s="35"/>
    </row>
    <row r="8" spans="1:10" x14ac:dyDescent="0.25">
      <c r="A8" s="15"/>
      <c r="B8" s="16"/>
      <c r="C8" s="36"/>
      <c r="D8" s="35"/>
    </row>
    <row r="9" spans="1:10" x14ac:dyDescent="0.25">
      <c r="A9" s="15"/>
      <c r="B9" s="16"/>
      <c r="C9" s="36"/>
      <c r="D9" s="35"/>
    </row>
    <row r="10" spans="1:10" x14ac:dyDescent="0.25">
      <c r="A10" s="15"/>
      <c r="B10" s="16"/>
      <c r="C10" s="36"/>
      <c r="D10" s="35"/>
    </row>
    <row r="11" spans="1:10" x14ac:dyDescent="0.25">
      <c r="A11" s="15"/>
      <c r="B11" s="16"/>
      <c r="C11" s="36"/>
      <c r="D11" s="35"/>
    </row>
    <row r="12" spans="1:10" x14ac:dyDescent="0.25">
      <c r="A12" s="15"/>
      <c r="B12" s="16"/>
      <c r="C12" s="36"/>
      <c r="D12" s="100" t="s">
        <v>19</v>
      </c>
      <c r="E12" s="101"/>
    </row>
    <row r="13" spans="1:10" x14ac:dyDescent="0.25">
      <c r="C13" s="48" t="s">
        <v>18</v>
      </c>
      <c r="D13" s="56">
        <v>2026</v>
      </c>
      <c r="E13" s="56">
        <v>2027</v>
      </c>
    </row>
    <row r="14" spans="1:10" x14ac:dyDescent="0.25">
      <c r="B14" s="35" t="e">
        <f>SUM(B1:B13)</f>
        <v>#REF!</v>
      </c>
      <c r="C14" s="47" t="e">
        <f>SUM(C1:C13)</f>
        <v>#REF!</v>
      </c>
      <c r="D14" s="56"/>
      <c r="E14" s="56"/>
    </row>
    <row r="15" spans="1:10" x14ac:dyDescent="0.25">
      <c r="A15" s="49" t="s">
        <v>20</v>
      </c>
      <c r="B15" s="49" t="s">
        <v>21</v>
      </c>
      <c r="C15" s="54">
        <v>538000</v>
      </c>
      <c r="D15" s="53">
        <f>J2*8</f>
        <v>215200</v>
      </c>
      <c r="E15" s="53">
        <f>J2*12</f>
        <v>322800</v>
      </c>
      <c r="F15" s="55">
        <f>D15+E15</f>
        <v>538000</v>
      </c>
    </row>
  </sheetData>
  <mergeCells count="1"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оконч.</vt:lpstr>
      <vt:lpstr>Расчет с учетом по годам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t.kasina</dc:creator>
  <cp:lastModifiedBy>Логиновская Елена Викторовна</cp:lastModifiedBy>
  <cp:lastPrinted>2026-04-30T03:12:39Z</cp:lastPrinted>
  <dcterms:created xsi:type="dcterms:W3CDTF">2023-06-09T11:29:15Z</dcterms:created>
  <dcterms:modified xsi:type="dcterms:W3CDTF">2026-06-03T07:36:22Z</dcterms:modified>
</cp:coreProperties>
</file>