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88 Поставка оборудования для монтажа эжекционной установки\"/>
    </mc:Choice>
  </mc:AlternateContent>
  <xr:revisionPtr revIDLastSave="0" documentId="8_{FD9AB087-2578-4F9D-81CC-1B0103F30B20}" xr6:coauthVersionLast="47" xr6:coauthVersionMax="47" xr10:uidLastSave="{00000000-0000-0000-0000-000000000000}"/>
  <bookViews>
    <workbookView xWindow="-120" yWindow="-120" windowWidth="29040" windowHeight="15840" xr2:uid="{34C31BB6-D4AD-44EF-81E8-C6A3AEC04279}"/>
  </bookViews>
  <sheets>
    <sheet name="НМЦ" sheetId="1" r:id="rId1"/>
  </sheets>
  <externalReferences>
    <externalReference r:id="rId2"/>
  </externalReferences>
  <definedNames>
    <definedName name="ДаНет">#N/A</definedName>
    <definedName name="_xlnm.Print_Area" localSheetId="0">НМЦ!$A$3:$M$66</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4" i="1" l="1"/>
  <c r="B63" i="1"/>
  <c r="K60" i="1"/>
  <c r="B60" i="1"/>
  <c r="H56" i="1"/>
  <c r="G56" i="1"/>
  <c r="F56" i="1"/>
  <c r="E56" i="1"/>
  <c r="J56" i="1" s="1"/>
  <c r="J55" i="1"/>
  <c r="K55" i="1" s="1"/>
  <c r="L55" i="1" s="1"/>
  <c r="M55" i="1" s="1"/>
  <c r="I55" i="1"/>
  <c r="K54" i="1"/>
  <c r="L54" i="1" s="1"/>
  <c r="M54" i="1" s="1"/>
  <c r="J54" i="1"/>
  <c r="I54" i="1"/>
  <c r="A54" i="1"/>
  <c r="A55" i="1" s="1"/>
  <c r="J53" i="1"/>
  <c r="I53" i="1"/>
  <c r="K53" i="1" s="1"/>
  <c r="L53" i="1" s="1"/>
  <c r="M53" i="1" s="1"/>
  <c r="J52" i="1"/>
  <c r="K52" i="1" s="1"/>
  <c r="L52" i="1" s="1"/>
  <c r="M52" i="1" s="1"/>
  <c r="I52" i="1"/>
  <c r="K51" i="1"/>
  <c r="L51" i="1" s="1"/>
  <c r="M51" i="1" s="1"/>
  <c r="J51" i="1"/>
  <c r="I51" i="1"/>
  <c r="J50" i="1"/>
  <c r="K50" i="1" s="1"/>
  <c r="L50" i="1" s="1"/>
  <c r="M50" i="1" s="1"/>
  <c r="I50" i="1"/>
  <c r="J49" i="1"/>
  <c r="I49" i="1"/>
  <c r="K49" i="1" s="1"/>
  <c r="L49" i="1" s="1"/>
  <c r="M49" i="1" s="1"/>
  <c r="J48" i="1"/>
  <c r="K48" i="1" s="1"/>
  <c r="L48" i="1" s="1"/>
  <c r="M48" i="1" s="1"/>
  <c r="I48" i="1"/>
  <c r="K47" i="1"/>
  <c r="L47" i="1" s="1"/>
  <c r="M47" i="1" s="1"/>
  <c r="J47" i="1"/>
  <c r="I47" i="1"/>
  <c r="J46" i="1"/>
  <c r="K46" i="1" s="1"/>
  <c r="L46" i="1" s="1"/>
  <c r="M46" i="1" s="1"/>
  <c r="I46" i="1"/>
  <c r="J45" i="1"/>
  <c r="I45" i="1"/>
  <c r="K45" i="1" s="1"/>
  <c r="L45" i="1" s="1"/>
  <c r="M45" i="1" s="1"/>
  <c r="J44" i="1"/>
  <c r="K44" i="1" s="1"/>
  <c r="L44" i="1" s="1"/>
  <c r="M44" i="1" s="1"/>
  <c r="I44" i="1"/>
  <c r="K43" i="1"/>
  <c r="L43" i="1" s="1"/>
  <c r="M43" i="1" s="1"/>
  <c r="J43" i="1"/>
  <c r="I43" i="1"/>
  <c r="S42" i="1"/>
  <c r="R42" i="1"/>
  <c r="J42" i="1"/>
  <c r="K42" i="1" s="1"/>
  <c r="L42" i="1" s="1"/>
  <c r="M42" i="1" s="1"/>
  <c r="I42" i="1"/>
  <c r="K41" i="1"/>
  <c r="L41" i="1" s="1"/>
  <c r="M41" i="1" s="1"/>
  <c r="J41" i="1"/>
  <c r="I41" i="1"/>
  <c r="J40" i="1"/>
  <c r="K40" i="1" s="1"/>
  <c r="L40" i="1" s="1"/>
  <c r="M40" i="1" s="1"/>
  <c r="I40" i="1"/>
  <c r="J39" i="1"/>
  <c r="K39" i="1" s="1"/>
  <c r="L39" i="1" s="1"/>
  <c r="M39" i="1" s="1"/>
  <c r="I39" i="1"/>
  <c r="J38" i="1"/>
  <c r="K38" i="1" s="1"/>
  <c r="L38" i="1" s="1"/>
  <c r="M38" i="1" s="1"/>
  <c r="I38" i="1"/>
  <c r="K37" i="1"/>
  <c r="L37" i="1" s="1"/>
  <c r="M37" i="1" s="1"/>
  <c r="J37" i="1"/>
  <c r="I37" i="1"/>
  <c r="J36" i="1"/>
  <c r="K36" i="1" s="1"/>
  <c r="L36" i="1" s="1"/>
  <c r="M36" i="1" s="1"/>
  <c r="I36" i="1"/>
  <c r="J35" i="1"/>
  <c r="K35" i="1" s="1"/>
  <c r="L35" i="1" s="1"/>
  <c r="M35" i="1" s="1"/>
  <c r="I35" i="1"/>
  <c r="J34" i="1"/>
  <c r="K34" i="1" s="1"/>
  <c r="L34" i="1" s="1"/>
  <c r="M34" i="1" s="1"/>
  <c r="I34" i="1"/>
  <c r="K33" i="1"/>
  <c r="L33" i="1" s="1"/>
  <c r="M33" i="1" s="1"/>
  <c r="J33" i="1"/>
  <c r="I33" i="1"/>
  <c r="J32" i="1"/>
  <c r="K32" i="1" s="1"/>
  <c r="L32" i="1" s="1"/>
  <c r="M32" i="1" s="1"/>
  <c r="I32" i="1"/>
  <c r="J31" i="1"/>
  <c r="K31" i="1" s="1"/>
  <c r="L31" i="1" s="1"/>
  <c r="M31" i="1" s="1"/>
  <c r="I31" i="1"/>
  <c r="J30" i="1"/>
  <c r="K30" i="1" s="1"/>
  <c r="L30" i="1" s="1"/>
  <c r="M30" i="1" s="1"/>
  <c r="I30" i="1"/>
  <c r="K29" i="1"/>
  <c r="L29" i="1" s="1"/>
  <c r="M29" i="1" s="1"/>
  <c r="J29" i="1"/>
  <c r="I29" i="1"/>
  <c r="J28" i="1"/>
  <c r="K28" i="1" s="1"/>
  <c r="L28" i="1" s="1"/>
  <c r="M28" i="1" s="1"/>
  <c r="I28" i="1"/>
  <c r="J27" i="1"/>
  <c r="K27" i="1" s="1"/>
  <c r="L27" i="1" s="1"/>
  <c r="M27" i="1" s="1"/>
  <c r="I27" i="1"/>
  <c r="J26" i="1"/>
  <c r="K26" i="1" s="1"/>
  <c r="L26" i="1" s="1"/>
  <c r="M26" i="1" s="1"/>
  <c r="I26" i="1"/>
  <c r="K25" i="1"/>
  <c r="L25" i="1" s="1"/>
  <c r="M25" i="1" s="1"/>
  <c r="J25" i="1"/>
  <c r="I25" i="1"/>
  <c r="J24" i="1"/>
  <c r="K24" i="1" s="1"/>
  <c r="L24" i="1" s="1"/>
  <c r="M24" i="1" s="1"/>
  <c r="I24" i="1"/>
  <c r="J23" i="1"/>
  <c r="K23" i="1" s="1"/>
  <c r="L23" i="1" s="1"/>
  <c r="M23" i="1" s="1"/>
  <c r="I23" i="1"/>
  <c r="J22" i="1"/>
  <c r="K22" i="1" s="1"/>
  <c r="L22" i="1" s="1"/>
  <c r="M22" i="1" s="1"/>
  <c r="I22" i="1"/>
  <c r="K21" i="1"/>
  <c r="L21" i="1" s="1"/>
  <c r="M21" i="1" s="1"/>
  <c r="J21" i="1"/>
  <c r="I21" i="1"/>
  <c r="S20" i="1"/>
  <c r="R20" i="1"/>
  <c r="J20" i="1"/>
  <c r="K20" i="1" s="1"/>
  <c r="L20" i="1" s="1"/>
  <c r="M20" i="1" s="1"/>
  <c r="I20" i="1"/>
  <c r="A20" i="1"/>
  <c r="S19" i="1"/>
  <c r="R19" i="1"/>
  <c r="J19" i="1"/>
  <c r="K19" i="1" s="1"/>
  <c r="L19" i="1" s="1"/>
  <c r="M19" i="1" s="1"/>
  <c r="I19" i="1"/>
  <c r="S18" i="1"/>
  <c r="R18" i="1"/>
  <c r="E18" i="1"/>
  <c r="F18" i="1" s="1"/>
  <c r="G18" i="1" s="1"/>
  <c r="H18" i="1" s="1"/>
  <c r="I18" i="1" s="1"/>
  <c r="J18" i="1" s="1"/>
  <c r="K18" i="1" s="1"/>
  <c r="L18" i="1" s="1"/>
  <c r="M18" i="1" s="1"/>
  <c r="S17" i="1"/>
  <c r="R17" i="1"/>
  <c r="F10" i="1"/>
  <c r="F9" i="1"/>
  <c r="F8" i="1"/>
  <c r="F7" i="1"/>
  <c r="F6" i="1"/>
  <c r="M56" i="1" l="1"/>
  <c r="I56" i="1"/>
  <c r="C65" i="1" l="1"/>
  <c r="F12" i="1"/>
</calcChain>
</file>

<file path=xl/sharedStrings.xml><?xml version="1.0" encoding="utf-8"?>
<sst xmlns="http://schemas.openxmlformats.org/spreadsheetml/2006/main" count="131" uniqueCount="94">
  <si>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</si>
  <si>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</si>
  <si>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</si>
  <si>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</si>
  <si>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</si>
  <si>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</si>
  <si>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</si>
  <si>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</si>
  <si>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</si>
  <si>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</si>
  <si>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</si>
  <si>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</si>
  <si>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</si>
  <si>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</si>
  <si>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</si>
  <si>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572 295 (пятьсот семьдесят две тысячи двести девяносто пять) рублей 30 копеек, с учетом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</si>
  <si>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</si>
  <si>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</si>
  <si>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</si>
  <si>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</si>
  <si>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</si>
  <si>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</si>
  <si>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</si>
  <si>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</si>
  <si>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</si>
  <si>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</si>
  <si>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</si>
  <si>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</si>
  <si>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</si>
  <si>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</si>
  <si>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</si>
  <si>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</si>
  <si>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</si>
  <si>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</si>
  <si>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</si>
  <si>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</si>
  <si>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</si>
  <si>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</si>
  <si>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</si>
  <si>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</si>
  <si>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Корпус ЩМП-4-0 800х650х250 IP54</t>
  </si>
  <si>
    <t>штука</t>
  </si>
  <si>
    <t>Измеритель-регулятор ТРМ12-Щ2.У2.РР</t>
  </si>
  <si>
    <t xml:space="preserve">№4 </t>
  </si>
  <si>
    <t>Измеритель-регулятор ТРМ 201 Щ2.У2.Р</t>
  </si>
  <si>
    <t>Барьер искрозащиты ИСКРА-ТС.03</t>
  </si>
  <si>
    <t>Источник питания EFA1AC/24DC-2,5A</t>
  </si>
  <si>
    <t>Блок питания и преобразования сигналов БППС 4090 Ех/ М11-44/кл.В/ t1060/ ПО/ -/ ГП</t>
  </si>
  <si>
    <t>Сигнализатор уровня и потока термодифференциальный
ЭЛЕМЕР-СТД-31 Exd/ dbIIAT6/ -/ 1/ АГ22/ 70/ 1М20/ КБ13/ КБ13/А1/t4070/ 02/ -/ БП1/ ТУ</t>
  </si>
  <si>
    <t xml:space="preserve">Термопреобразователь сопротивления ТСП
9201.085-08 </t>
  </si>
  <si>
    <t>Преобразователь давления APLISENS
РC-28/ Ех/ 0…1,6МПа/ PD/ RM/ RU</t>
  </si>
  <si>
    <t>Трубка кольцевая
S-M20x1,5(F)-M20x1,5(M)-321</t>
  </si>
  <si>
    <t>Интерфейсный модуль реле Finder 220 В 50 Гц 2П 48.52.8.230.0060SPA</t>
  </si>
  <si>
    <t>Интерфейсный модуль реле Finder 24В 2П 58.32.024.0050 SPA</t>
  </si>
  <si>
    <t>Лампа светосигнальная AD22DC  d22 230В синий</t>
  </si>
  <si>
    <t>Лампа светосигнальная AD22DC  d22 230В красный</t>
  </si>
  <si>
    <t>Кнопка SВ-7 "Пуск" d22мм 1НО+1НЗ 240В зеленая</t>
  </si>
  <si>
    <t>Кнопка SВ-7 "Стоп" d22мм 1НО+1НЗ 240В красная</t>
  </si>
  <si>
    <t xml:space="preserve">Переключатель ALCLR-22 на 3 полож. I-O-II 1НО+1НЗ </t>
  </si>
  <si>
    <t>Выключатель ВА 47-29 1Р 1 А ВА47-29</t>
  </si>
  <si>
    <t>Выключатель ВА 47-29 1Р 2 А ВА47-29</t>
  </si>
  <si>
    <t>Выключатель ВА 47-29 1Р 3 А ВА47-29</t>
  </si>
  <si>
    <t>Клемма проходная зажим push-in 2 точки подключения 2.5кв.мм сер. DKC VPR-2.5-GY</t>
  </si>
  <si>
    <t>Клемма проходная зажим push-in 2 точки подключения 2.5кв.мм син. DKC VPR-2.5-BU</t>
  </si>
  <si>
    <t>Клемма проходная винтовой зажим 2 точки подключения 2.5кв.мм оранж. DKC TUR-2.5R-OR</t>
  </si>
  <si>
    <t xml:space="preserve">Изолятор торцевой для клемм TUR-35R DKC D-TUR-35R </t>
  </si>
  <si>
    <t>№5</t>
  </si>
  <si>
    <t>Фиксатор торцевой 5мм (уп.20шт) DKC ZBT008</t>
  </si>
  <si>
    <t>уп.20 шт</t>
  </si>
  <si>
    <t>DIN-рейка 35х15мм L2000 1.5мм оцин</t>
  </si>
  <si>
    <t>Наконечник НШВИ 0,75-8 (уп. 100шт)</t>
  </si>
  <si>
    <t>уп. 100шт</t>
  </si>
  <si>
    <t>Наконечник НШВИ(2) 2х0,75 (уп. 100шт)</t>
  </si>
  <si>
    <t>Трубочка прозрачная для гибкой маркировки 1.5-2.5мм длина 15мм (уп.1000шт) DKC TUB1501FL</t>
  </si>
  <si>
    <t>уп. 1000шт</t>
  </si>
  <si>
    <t>Маркировка для провода гибкая для трубочек 4х15мм бел.(уп.3500шт) DKC NUTFL15</t>
  </si>
  <si>
    <t>формулы</t>
  </si>
  <si>
    <t>Кабель КВБбШвнг(А)-LS 4х1 0.66кВ</t>
  </si>
  <si>
    <t>метр</t>
  </si>
  <si>
    <t>Кабель КВБбШвнг(А)-LS 7х1 0.66кВ</t>
  </si>
  <si>
    <t>Провод H05V-K 1х0.75 кр</t>
  </si>
  <si>
    <t>уп. 100м</t>
  </si>
  <si>
    <t>Провод H05V-K 1х0.75 син</t>
  </si>
  <si>
    <t>Провод H05V-K 1х0,75 кор</t>
  </si>
  <si>
    <t>Провод H05V-K 1х0,75 ч</t>
  </si>
  <si>
    <t>Провод H05V-K 1х0,75 ж/з</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</si>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</sst>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indexed="64"/>
      </top>
      <bottom style="medium">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96">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6"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4" fillId="0" borderId="8" xfId="0" applyFont="1" applyBorder="1" applyAlignment="1">
      <alignment horizontal="left" vertical="center" wrapText="1"/>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0" xfId="0" applyFont="1" applyAlignment="1">
      <alignment vertical="center"/>
    </xf>
    <xf numFmtId="0" fontId="4" fillId="0" borderId="14" xfId="0" applyFont="1" applyBorder="1" applyAlignment="1">
      <alignment horizontal="left" vertical="center" wrapText="1"/>
    </xf>
    <xf numFmtId="0" fontId="4" fillId="0" borderId="1" xfId="0" applyFont="1" applyBorder="1" applyAlignment="1">
      <alignment vertical="center" wrapText="1"/>
    </xf>
    <xf numFmtId="0" fontId="10" fillId="0" borderId="0" xfId="0" applyFont="1" applyAlignment="1">
      <alignment horizontal="left" vertical="top" wrapText="1"/>
    </xf>
    <xf numFmtId="49" fontId="3" fillId="0" borderId="0" xfId="0" applyNumberFormat="1" applyFont="1"/>
    <xf numFmtId="0" fontId="11" fillId="0" borderId="1" xfId="0" applyFont="1" applyBorder="1" applyAlignment="1">
      <alignment horizontal="left" vertical="center" wrapText="1" indent="3"/>
    </xf>
    <xf numFmtId="0" fontId="14" fillId="0" borderId="1" xfId="0" applyFont="1" applyBorder="1" applyAlignment="1">
      <alignment vertical="center" wrapText="1"/>
    </xf>
    <xf numFmtId="0" fontId="11"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2"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15" xfId="0" applyFont="1" applyBorder="1"/>
    <xf numFmtId="0" fontId="2" fillId="0" borderId="15"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923CEC42-011E-4CCC-A236-3C64C9DAA20B}"/>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4;&#1042;&#1058;&#1080;&#1040;_&#1056;&#1055;&#1047;_388_57229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46251</v>
          </cell>
        </row>
        <row r="4">
          <cell r="C4" t="str">
            <v>Директор по информационным ресурсам</v>
          </cell>
          <cell r="D4" t="str">
            <v>А.В. Кодолов</v>
          </cell>
        </row>
        <row r="66">
          <cell r="C66" t="str">
            <v>Поставка оборудования для монтажа эжекционной установки</v>
          </cell>
        </row>
        <row r="67">
          <cell r="C67" t="str">
            <v xml:space="preserve">метод сопоставимых рыночных цен (анализа рынка) </v>
          </cell>
        </row>
        <row r="68">
          <cell r="C68" t="str">
            <v xml:space="preserve">в течение 45 рабочих дней с момента заключения договора. </v>
          </cell>
        </row>
        <row r="69">
          <cell r="C69" t="str">
            <v>Исх №17-5195 от 19.06.2026 отправлено в 5 организаций</v>
          </cell>
        </row>
        <row r="70">
          <cell r="C70" t="str">
            <v>Вх.№ 4532, 4533, 4534 от 07.08.2026</v>
          </cell>
        </row>
        <row r="77">
          <cell r="C77" t="str">
            <v>Инженер II категории Тарабрина О.М.</v>
          </cell>
        </row>
        <row r="78">
          <cell r="C78" t="str">
            <v>66-56</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37ED-BA70-45F3-99CA-586CA3450601}">
  <sheetPr>
    <tabColor rgb="FF00B050"/>
    <pageSetUpPr fitToPage="1"/>
  </sheetPr>
  <dimension ref="A1:W73"/>
  <sheetViews>
    <sheetView tabSelected="1" view="pageBreakPreview" topLeftCell="A3" zoomScale="60" zoomScaleNormal="100" workbookViewId="0">
      <selection activeCell="I56" sqref="I56"/>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7" width="12.14062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оборудования для монтажа эжекционной установки</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 xml:space="preserve">в течение 45 рабочих дней с момента заключения договора. </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tr">
        <f>[1]ЗАКУПКА!C69</f>
        <v>Исх №17-5195 от 19.06.2026 отправлено в 5 организаций</v>
      </c>
      <c r="G9" s="23"/>
      <c r="H9" s="23"/>
      <c r="I9" s="23"/>
      <c r="J9" s="23"/>
      <c r="K9" s="23"/>
      <c r="L9" s="23"/>
      <c r="M9" s="23"/>
      <c r="N9" s="24" t="s">
        <v>11</v>
      </c>
      <c r="O9" s="25"/>
      <c r="P9" s="25"/>
      <c r="Q9" s="25"/>
      <c r="R9" s="17"/>
      <c r="S9" s="21">
        <v>2028</v>
      </c>
      <c r="T9" s="22">
        <v>104</v>
      </c>
      <c r="U9" s="18">
        <v>1.04</v>
      </c>
      <c r="V9" s="14"/>
      <c r="W9" s="14"/>
    </row>
    <row r="10" spans="1:23" ht="40.5" customHeight="1" x14ac:dyDescent="0.25">
      <c r="A10" s="19" t="s">
        <v>12</v>
      </c>
      <c r="B10" s="19"/>
      <c r="C10" s="19"/>
      <c r="D10" s="19"/>
      <c r="E10" s="19"/>
      <c r="F10" s="23" t="str">
        <f>[1]ЗАКУПКА!C70</f>
        <v>Вх.№ 4532, 4533, 4534 от 07.08.2026</v>
      </c>
      <c r="G10" s="23"/>
      <c r="H10" s="23"/>
      <c r="I10" s="23"/>
      <c r="J10" s="23"/>
      <c r="K10" s="23"/>
      <c r="L10" s="23"/>
      <c r="M10" s="23"/>
      <c r="N10" s="24" t="s">
        <v>13</v>
      </c>
      <c r="O10" s="25"/>
      <c r="P10" s="25"/>
      <c r="Q10" s="25"/>
      <c r="R10" s="17"/>
    </row>
    <row r="11" spans="1:23" ht="93.75" customHeight="1" x14ac:dyDescent="0.25">
      <c r="A11" s="19" t="s">
        <v>14</v>
      </c>
      <c r="B11" s="19"/>
      <c r="C11" s="19"/>
      <c r="D11" s="19"/>
      <c r="E11" s="19"/>
      <c r="F11" s="23" t="s">
        <v>15</v>
      </c>
      <c r="G11" s="23"/>
      <c r="H11" s="23"/>
      <c r="I11" s="23"/>
      <c r="J11" s="23"/>
      <c r="K11" s="23"/>
      <c r="L11" s="23"/>
      <c r="M11" s="23"/>
      <c r="N11" s="26" t="s">
        <v>16</v>
      </c>
      <c r="O11" s="17"/>
      <c r="P11" s="17"/>
      <c r="R11" s="17"/>
      <c r="S11" s="17"/>
      <c r="T11" s="17"/>
    </row>
    <row r="12" spans="1:23" ht="21" customHeight="1" x14ac:dyDescent="0.25">
      <c r="A12" s="19" t="s">
        <v>17</v>
      </c>
      <c r="B12" s="19"/>
      <c r="C12" s="19"/>
      <c r="D12" s="19"/>
      <c r="E12" s="19"/>
      <c r="F12" s="27">
        <f ca="1">[1]ЗАКУПКА!B1</f>
        <v>46251</v>
      </c>
      <c r="G12" s="27"/>
      <c r="H12" s="27"/>
      <c r="I12" s="27"/>
      <c r="J12" s="27"/>
      <c r="K12" s="27"/>
      <c r="L12" s="27"/>
      <c r="M12" s="27"/>
      <c r="N12" s="28" t="s">
        <v>18</v>
      </c>
      <c r="O12" s="17"/>
      <c r="P12" s="17"/>
      <c r="Q12" s="17"/>
      <c r="R12" s="17"/>
      <c r="S12" s="17"/>
      <c r="T12" s="17"/>
    </row>
    <row r="13" spans="1:23" ht="15"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19</v>
      </c>
      <c r="B14" s="30"/>
      <c r="C14" s="30"/>
      <c r="D14" s="30"/>
      <c r="E14" s="30"/>
      <c r="F14" s="30"/>
      <c r="G14" s="30"/>
      <c r="H14" s="30"/>
      <c r="I14" s="30"/>
      <c r="J14" s="30"/>
      <c r="K14" s="30"/>
      <c r="L14" s="30"/>
      <c r="M14" s="30"/>
      <c r="N14" s="17"/>
      <c r="O14" s="17"/>
      <c r="P14" s="17"/>
      <c r="Q14" s="17"/>
      <c r="R14" s="17"/>
      <c r="S14" s="17"/>
      <c r="T14" s="17"/>
    </row>
    <row r="15" spans="1:23" x14ac:dyDescent="0.25">
      <c r="Q15" s="31" t="s">
        <v>20</v>
      </c>
    </row>
    <row r="16" spans="1:23" s="37" customFormat="1" ht="30.75" customHeight="1" x14ac:dyDescent="0.25">
      <c r="A16" s="32" t="s">
        <v>21</v>
      </c>
      <c r="B16" s="32" t="s">
        <v>22</v>
      </c>
      <c r="C16" s="32" t="s">
        <v>23</v>
      </c>
      <c r="D16" s="32" t="s">
        <v>24</v>
      </c>
      <c r="E16" s="33" t="s">
        <v>25</v>
      </c>
      <c r="F16" s="34"/>
      <c r="G16" s="34"/>
      <c r="H16" s="35"/>
      <c r="I16" s="32" t="s">
        <v>26</v>
      </c>
      <c r="J16" s="32" t="s">
        <v>27</v>
      </c>
      <c r="K16" s="32" t="s">
        <v>28</v>
      </c>
      <c r="L16" s="36" t="s">
        <v>29</v>
      </c>
      <c r="M16" s="32" t="s">
        <v>30</v>
      </c>
      <c r="O16" s="38"/>
      <c r="P16" s="39" t="s">
        <v>31</v>
      </c>
      <c r="Q16" s="39" t="s">
        <v>32</v>
      </c>
      <c r="R16" s="6" t="s">
        <v>33</v>
      </c>
      <c r="S16" s="6" t="s">
        <v>34</v>
      </c>
    </row>
    <row r="17" spans="1:20" s="37" customFormat="1" ht="128.25" customHeight="1" x14ac:dyDescent="0.25">
      <c r="A17" s="40"/>
      <c r="B17" s="40"/>
      <c r="C17" s="40"/>
      <c r="D17" s="40"/>
      <c r="E17" s="6" t="s">
        <v>35</v>
      </c>
      <c r="F17" s="6" t="s">
        <v>36</v>
      </c>
      <c r="G17" s="6" t="s">
        <v>37</v>
      </c>
      <c r="H17" s="41" t="s">
        <v>38</v>
      </c>
      <c r="I17" s="40"/>
      <c r="J17" s="40"/>
      <c r="K17" s="40"/>
      <c r="L17" s="42"/>
      <c r="M17" s="40"/>
      <c r="O17" s="17"/>
      <c r="P17" s="43" t="s">
        <v>35</v>
      </c>
      <c r="Q17" s="44">
        <v>2723123664</v>
      </c>
      <c r="R17" s="44" t="str">
        <f>VLOOKUP(Q17,[1]Контрагенты!$A$3:$H$3248,4,FALSE)</f>
        <v>ООО "ЦЛХ"</v>
      </c>
      <c r="S17" s="45">
        <f>VLOOKUP(Q17,[1]Контрагенты!$A$3:$H$3248,7,FALSE)</f>
        <v>0</v>
      </c>
      <c r="T17" s="46" t="s">
        <v>39</v>
      </c>
    </row>
    <row r="18" spans="1:20" ht="14.25" customHeight="1" x14ac:dyDescent="0.25">
      <c r="A18" s="47">
        <v>1</v>
      </c>
      <c r="B18" s="47">
        <v>2</v>
      </c>
      <c r="C18" s="47">
        <v>3</v>
      </c>
      <c r="D18" s="47">
        <v>4</v>
      </c>
      <c r="E18" s="47">
        <f>D18+1</f>
        <v>5</v>
      </c>
      <c r="F18" s="47">
        <f t="shared" ref="F18:M18" si="0">E18+1</f>
        <v>6</v>
      </c>
      <c r="G18" s="47">
        <f t="shared" si="0"/>
        <v>7</v>
      </c>
      <c r="H18" s="47">
        <f t="shared" si="0"/>
        <v>8</v>
      </c>
      <c r="I18" s="47">
        <f t="shared" si="0"/>
        <v>9</v>
      </c>
      <c r="J18" s="47">
        <f t="shared" si="0"/>
        <v>10</v>
      </c>
      <c r="K18" s="47">
        <f t="shared" si="0"/>
        <v>11</v>
      </c>
      <c r="L18" s="47">
        <f t="shared" si="0"/>
        <v>12</v>
      </c>
      <c r="M18" s="47">
        <f t="shared" si="0"/>
        <v>13</v>
      </c>
      <c r="O18" s="17"/>
      <c r="P18" s="6" t="s">
        <v>36</v>
      </c>
      <c r="Q18" s="48"/>
      <c r="R18" s="8" t="str">
        <f>VLOOKUP(Q18,[1]Контрагенты!$A$3:$H$3248,4,FALSE)</f>
        <v>ООО "Сантехресурс+"</v>
      </c>
      <c r="S18" s="49" t="str">
        <f>VLOOKUP(Q18,[1]Контрагенты!$A$3:$H$3248,7,FALSE)</f>
        <v/>
      </c>
    </row>
    <row r="19" spans="1:20" ht="38.25" thickBot="1" x14ac:dyDescent="0.3">
      <c r="A19" s="47">
        <v>1</v>
      </c>
      <c r="B19" s="50" t="s">
        <v>40</v>
      </c>
      <c r="C19" s="47" t="s">
        <v>41</v>
      </c>
      <c r="D19" s="51">
        <v>1</v>
      </c>
      <c r="E19" s="52">
        <v>15765.1</v>
      </c>
      <c r="F19" s="52">
        <v>16010</v>
      </c>
      <c r="G19" s="52">
        <v>16226</v>
      </c>
      <c r="H19" s="53"/>
      <c r="I19" s="52">
        <f>IFERROR(ROUND(AVERAGEIF(E19:G19,"&gt;0"),2),"")</f>
        <v>16000.37</v>
      </c>
      <c r="J19" s="54">
        <f>IFERROR(_xlfn.STDEV.P($E19:$G19),"")</f>
        <v>188.28489642619283</v>
      </c>
      <c r="K19" s="54">
        <f>IFERROR(J19/I19,"")</f>
        <v>1.1767533902415557E-2</v>
      </c>
      <c r="L19" s="54">
        <f>IF(K19&lt;0.06,I19,IF(K19&gt;0.32,$N$56,MIN(E19:G19)))</f>
        <v>16000.37</v>
      </c>
      <c r="M19" s="54">
        <f>IFERROR(L19*D19,"")</f>
        <v>16000.37</v>
      </c>
      <c r="O19" s="17"/>
      <c r="P19" s="6" t="s">
        <v>37</v>
      </c>
      <c r="Q19" s="48"/>
      <c r="R19" s="8" t="str">
        <f>VLOOKUP(Q19,[1]Контрагенты!$A$3:$H$3248,4,FALSE)</f>
        <v>ООО "Сантехресурс+"</v>
      </c>
      <c r="S19" s="49" t="str">
        <f>VLOOKUP(Q19,[1]Контрагенты!$A$3:$H$3248,7,FALSE)</f>
        <v/>
      </c>
    </row>
    <row r="20" spans="1:20" ht="57" outlineLevel="1" thickBot="1" x14ac:dyDescent="0.3">
      <c r="A20" s="47">
        <f>A19+1</f>
        <v>2</v>
      </c>
      <c r="B20" s="55" t="s">
        <v>42</v>
      </c>
      <c r="C20" s="47" t="s">
        <v>41</v>
      </c>
      <c r="D20" s="51">
        <v>1</v>
      </c>
      <c r="E20" s="52">
        <v>9198.7999999999993</v>
      </c>
      <c r="F20" s="52">
        <v>9320</v>
      </c>
      <c r="G20" s="52">
        <v>9479.4</v>
      </c>
      <c r="H20" s="53"/>
      <c r="I20" s="52">
        <f>IFERROR(ROUND(AVERAGEIF(E20:G20,"&gt;0"),2),"")</f>
        <v>9332.73</v>
      </c>
      <c r="J20" s="54">
        <f t="shared" ref="J20:J55" si="1">IFERROR(_xlfn.STDEV.P($E20:$G20),"")</f>
        <v>114.90776977887781</v>
      </c>
      <c r="K20" s="54">
        <f t="shared" ref="K20:K55" si="2">IFERROR(J20/I20,"")</f>
        <v>1.2312342667030742E-2</v>
      </c>
      <c r="L20" s="54">
        <f>IF(K20&lt;0.06,I20,IF(K20&gt;0.32,$N$56,MIN(E20:G20)))</f>
        <v>9332.73</v>
      </c>
      <c r="M20" s="54">
        <f t="shared" ref="M20:M54" si="3">IFERROR(L20*D20,"")</f>
        <v>9332.73</v>
      </c>
      <c r="O20" s="17"/>
      <c r="P20" s="6" t="s">
        <v>43</v>
      </c>
      <c r="Q20" s="48"/>
      <c r="R20" s="8" t="str">
        <f>VLOOKUP(Q20,[1]Контрагенты!$A$3:$H$3248,4,FALSE)</f>
        <v>ООО "Сантехресурс+"</v>
      </c>
      <c r="S20" s="49" t="str">
        <f>VLOOKUP(Q20,[1]Контрагенты!$A$3:$H$3248,7,FALSE)</f>
        <v/>
      </c>
    </row>
    <row r="21" spans="1:20" ht="57" outlineLevel="1" thickBot="1" x14ac:dyDescent="0.3">
      <c r="A21" s="47">
        <v>3</v>
      </c>
      <c r="B21" s="56" t="s">
        <v>44</v>
      </c>
      <c r="C21" s="47" t="s">
        <v>41</v>
      </c>
      <c r="D21" s="51">
        <v>1</v>
      </c>
      <c r="E21" s="52">
        <v>8009.3</v>
      </c>
      <c r="F21" s="52">
        <v>8500</v>
      </c>
      <c r="G21" s="52">
        <v>8119.1</v>
      </c>
      <c r="H21" s="53"/>
      <c r="I21" s="52">
        <f t="shared" ref="I21:I56" si="4">IFERROR(ROUND(AVERAGEIF(E21:G21,"&gt;0"),2),"")</f>
        <v>8209.4699999999993</v>
      </c>
      <c r="J21" s="54">
        <f t="shared" si="1"/>
        <v>210.2716074245138</v>
      </c>
      <c r="K21" s="54">
        <f t="shared" si="2"/>
        <v>2.5613298717763001E-2</v>
      </c>
      <c r="L21" s="54">
        <f t="shared" ref="L21:L41" si="5">IF(K21&lt;0.06,I21,IF(K21&gt;0.32,$N$56,MIN(E21:G21)))</f>
        <v>8209.4699999999993</v>
      </c>
      <c r="M21" s="54">
        <f t="shared" si="3"/>
        <v>8209.4699999999993</v>
      </c>
      <c r="O21" s="17"/>
      <c r="P21" s="6"/>
      <c r="Q21" s="48"/>
      <c r="R21" s="8"/>
      <c r="S21" s="49"/>
    </row>
    <row r="22" spans="1:20" ht="57" outlineLevel="1" thickBot="1" x14ac:dyDescent="0.3">
      <c r="A22" s="47">
        <v>4</v>
      </c>
      <c r="B22" s="57" t="s">
        <v>45</v>
      </c>
      <c r="C22" s="47" t="s">
        <v>41</v>
      </c>
      <c r="D22" s="51">
        <v>3</v>
      </c>
      <c r="E22" s="52">
        <v>9635</v>
      </c>
      <c r="F22" s="52">
        <v>10010</v>
      </c>
      <c r="G22" s="52">
        <v>9772.2000000000007</v>
      </c>
      <c r="H22" s="53"/>
      <c r="I22" s="52">
        <f t="shared" si="4"/>
        <v>9805.73</v>
      </c>
      <c r="J22" s="54">
        <f t="shared" si="1"/>
        <v>154.9185018718623</v>
      </c>
      <c r="K22" s="54">
        <f t="shared" si="2"/>
        <v>1.5798772949271733E-2</v>
      </c>
      <c r="L22" s="54">
        <f t="shared" si="5"/>
        <v>9805.73</v>
      </c>
      <c r="M22" s="54">
        <f t="shared" si="3"/>
        <v>29417.19</v>
      </c>
      <c r="O22" s="17"/>
      <c r="P22" s="6"/>
      <c r="Q22" s="48"/>
      <c r="R22" s="8"/>
      <c r="S22" s="49"/>
    </row>
    <row r="23" spans="1:20" ht="64.5" customHeight="1" outlineLevel="1" thickBot="1" x14ac:dyDescent="0.3">
      <c r="A23" s="47">
        <v>5</v>
      </c>
      <c r="B23" s="57" t="s">
        <v>46</v>
      </c>
      <c r="C23" s="47" t="s">
        <v>41</v>
      </c>
      <c r="D23" s="51">
        <v>1</v>
      </c>
      <c r="E23" s="52">
        <v>20776.599999999999</v>
      </c>
      <c r="F23" s="52">
        <v>21000</v>
      </c>
      <c r="G23" s="52">
        <v>22021</v>
      </c>
      <c r="H23" s="53"/>
      <c r="I23" s="52">
        <f t="shared" si="4"/>
        <v>21265.87</v>
      </c>
      <c r="J23" s="54">
        <f t="shared" si="1"/>
        <v>541.69281167671284</v>
      </c>
      <c r="K23" s="54">
        <f t="shared" si="2"/>
        <v>2.5472403041902958E-2</v>
      </c>
      <c r="L23" s="54">
        <f t="shared" si="5"/>
        <v>21265.87</v>
      </c>
      <c r="M23" s="54">
        <f t="shared" si="3"/>
        <v>21265.87</v>
      </c>
      <c r="O23" s="17"/>
      <c r="P23" s="6"/>
      <c r="Q23" s="48"/>
      <c r="R23" s="8"/>
      <c r="S23" s="49"/>
    </row>
    <row r="24" spans="1:20" ht="113.25" outlineLevel="1" thickBot="1" x14ac:dyDescent="0.3">
      <c r="A24" s="47">
        <v>6</v>
      </c>
      <c r="B24" s="57" t="s">
        <v>47</v>
      </c>
      <c r="C24" s="47" t="s">
        <v>41</v>
      </c>
      <c r="D24" s="51">
        <v>1</v>
      </c>
      <c r="E24" s="52">
        <v>71544.5</v>
      </c>
      <c r="F24" s="52">
        <v>72500</v>
      </c>
      <c r="G24" s="52">
        <v>72394.8</v>
      </c>
      <c r="H24" s="53"/>
      <c r="I24" s="52">
        <f t="shared" si="4"/>
        <v>72146.429999999993</v>
      </c>
      <c r="J24" s="54">
        <f t="shared" si="1"/>
        <v>427.79244448161546</v>
      </c>
      <c r="K24" s="54">
        <f t="shared" si="2"/>
        <v>5.9295026029924907E-3</v>
      </c>
      <c r="L24" s="54">
        <f t="shared" si="5"/>
        <v>72146.429999999993</v>
      </c>
      <c r="M24" s="54">
        <f t="shared" si="3"/>
        <v>72146.429999999993</v>
      </c>
      <c r="O24" s="17"/>
      <c r="P24" s="6"/>
      <c r="Q24" s="48"/>
      <c r="R24" s="8"/>
      <c r="S24" s="49"/>
    </row>
    <row r="25" spans="1:20" ht="188.25" outlineLevel="1" thickBot="1" x14ac:dyDescent="0.3">
      <c r="A25" s="47">
        <v>7</v>
      </c>
      <c r="B25" s="57" t="s">
        <v>48</v>
      </c>
      <c r="C25" s="47" t="s">
        <v>41</v>
      </c>
      <c r="D25" s="51">
        <v>1</v>
      </c>
      <c r="E25" s="52">
        <v>141534</v>
      </c>
      <c r="F25" s="52">
        <v>142750</v>
      </c>
      <c r="G25" s="52">
        <v>141764</v>
      </c>
      <c r="H25" s="53"/>
      <c r="I25" s="52">
        <f t="shared" si="4"/>
        <v>142016</v>
      </c>
      <c r="J25" s="54">
        <f t="shared" si="1"/>
        <v>527.44162394208774</v>
      </c>
      <c r="K25" s="54">
        <f t="shared" si="2"/>
        <v>3.7139591591235335E-3</v>
      </c>
      <c r="L25" s="54">
        <f t="shared" si="5"/>
        <v>142016</v>
      </c>
      <c r="M25" s="54">
        <f t="shared" si="3"/>
        <v>142016</v>
      </c>
      <c r="O25" s="17"/>
      <c r="P25" s="6"/>
      <c r="Q25" s="48"/>
      <c r="R25" s="8"/>
      <c r="S25" s="49"/>
    </row>
    <row r="26" spans="1:20" ht="94.5" outlineLevel="1" thickBot="1" x14ac:dyDescent="0.3">
      <c r="A26" s="47">
        <v>8</v>
      </c>
      <c r="B26" s="57" t="s">
        <v>49</v>
      </c>
      <c r="C26" s="47" t="s">
        <v>41</v>
      </c>
      <c r="D26" s="51">
        <v>3</v>
      </c>
      <c r="E26" s="52">
        <v>10884.8</v>
      </c>
      <c r="F26" s="52">
        <v>11350</v>
      </c>
      <c r="G26" s="52">
        <v>11010.5</v>
      </c>
      <c r="H26" s="53"/>
      <c r="I26" s="52">
        <f t="shared" si="4"/>
        <v>11081.77</v>
      </c>
      <c r="J26" s="54">
        <f t="shared" si="1"/>
        <v>196.48912325000498</v>
      </c>
      <c r="K26" s="54">
        <f t="shared" si="2"/>
        <v>1.7730842929424177E-2</v>
      </c>
      <c r="L26" s="54">
        <f t="shared" si="5"/>
        <v>11081.77</v>
      </c>
      <c r="M26" s="54">
        <f t="shared" si="3"/>
        <v>33245.31</v>
      </c>
      <c r="O26" s="17"/>
      <c r="P26" s="6"/>
      <c r="Q26" s="48"/>
      <c r="R26" s="8"/>
      <c r="S26" s="49"/>
    </row>
    <row r="27" spans="1:20" ht="113.25" outlineLevel="1" thickBot="1" x14ac:dyDescent="0.3">
      <c r="A27" s="47">
        <v>9</v>
      </c>
      <c r="B27" s="57" t="s">
        <v>50</v>
      </c>
      <c r="C27" s="47" t="s">
        <v>41</v>
      </c>
      <c r="D27" s="51">
        <v>1</v>
      </c>
      <c r="E27" s="52">
        <v>59584.5</v>
      </c>
      <c r="F27" s="52">
        <v>60550</v>
      </c>
      <c r="G27" s="52">
        <v>60438.8</v>
      </c>
      <c r="H27" s="53"/>
      <c r="I27" s="52">
        <f t="shared" si="4"/>
        <v>60191.1</v>
      </c>
      <c r="J27" s="54">
        <f t="shared" si="1"/>
        <v>431.32665888705179</v>
      </c>
      <c r="K27" s="54">
        <f t="shared" si="2"/>
        <v>7.1659540843588467E-3</v>
      </c>
      <c r="L27" s="54">
        <f t="shared" si="5"/>
        <v>60191.1</v>
      </c>
      <c r="M27" s="54">
        <f t="shared" si="3"/>
        <v>60191.1</v>
      </c>
      <c r="O27" s="17"/>
      <c r="P27" s="6"/>
      <c r="Q27" s="48"/>
      <c r="R27" s="8"/>
      <c r="S27" s="49"/>
    </row>
    <row r="28" spans="1:20" ht="57" outlineLevel="1" thickBot="1" x14ac:dyDescent="0.3">
      <c r="A28" s="47">
        <v>10</v>
      </c>
      <c r="B28" s="50" t="s">
        <v>51</v>
      </c>
      <c r="C28" s="47" t="s">
        <v>41</v>
      </c>
      <c r="D28" s="51">
        <v>1</v>
      </c>
      <c r="E28" s="52">
        <v>3584.4</v>
      </c>
      <c r="F28" s="52">
        <v>3620</v>
      </c>
      <c r="G28" s="52">
        <v>3843</v>
      </c>
      <c r="H28" s="53"/>
      <c r="I28" s="52">
        <f t="shared" si="4"/>
        <v>3682.47</v>
      </c>
      <c r="J28" s="54">
        <f t="shared" si="1"/>
        <v>114.44082410670686</v>
      </c>
      <c r="K28" s="54">
        <f t="shared" si="2"/>
        <v>3.1077191153412481E-2</v>
      </c>
      <c r="L28" s="54">
        <f t="shared" si="5"/>
        <v>3682.47</v>
      </c>
      <c r="M28" s="54">
        <f t="shared" si="3"/>
        <v>3682.47</v>
      </c>
      <c r="O28" s="17"/>
      <c r="P28" s="6"/>
      <c r="Q28" s="48"/>
      <c r="R28" s="8"/>
      <c r="S28" s="49"/>
    </row>
    <row r="29" spans="1:20" ht="113.25" outlineLevel="1" thickBot="1" x14ac:dyDescent="0.3">
      <c r="A29" s="47">
        <v>11</v>
      </c>
      <c r="B29" s="55" t="s">
        <v>52</v>
      </c>
      <c r="C29" s="47" t="s">
        <v>41</v>
      </c>
      <c r="D29" s="51">
        <v>10</v>
      </c>
      <c r="E29" s="52">
        <v>1961.9</v>
      </c>
      <c r="F29" s="52">
        <v>2000</v>
      </c>
      <c r="G29" s="52">
        <v>2135</v>
      </c>
      <c r="H29" s="53"/>
      <c r="I29" s="52">
        <f t="shared" si="4"/>
        <v>2032.3</v>
      </c>
      <c r="J29" s="54">
        <f t="shared" si="1"/>
        <v>74.266950927044221</v>
      </c>
      <c r="K29" s="54">
        <f t="shared" si="2"/>
        <v>3.6543301149950413E-2</v>
      </c>
      <c r="L29" s="54">
        <f t="shared" si="5"/>
        <v>2032.3</v>
      </c>
      <c r="M29" s="54">
        <f t="shared" si="3"/>
        <v>20323</v>
      </c>
      <c r="O29" s="17"/>
      <c r="P29" s="6"/>
      <c r="Q29" s="48"/>
      <c r="R29" s="8"/>
      <c r="S29" s="49"/>
    </row>
    <row r="30" spans="1:20" ht="94.5" outlineLevel="1" thickBot="1" x14ac:dyDescent="0.3">
      <c r="A30" s="47">
        <v>12</v>
      </c>
      <c r="B30" s="56" t="s">
        <v>53</v>
      </c>
      <c r="C30" s="47" t="s">
        <v>41</v>
      </c>
      <c r="D30" s="51">
        <v>10</v>
      </c>
      <c r="E30" s="52">
        <v>1949.3</v>
      </c>
      <c r="F30" s="52">
        <v>2000</v>
      </c>
      <c r="G30" s="52">
        <v>2135</v>
      </c>
      <c r="H30" s="53"/>
      <c r="I30" s="52">
        <f t="shared" si="4"/>
        <v>2028.1</v>
      </c>
      <c r="J30" s="54">
        <f t="shared" si="1"/>
        <v>78.37231654098278</v>
      </c>
      <c r="K30" s="54">
        <f t="shared" si="2"/>
        <v>3.8643221015227443E-2</v>
      </c>
      <c r="L30" s="54">
        <f t="shared" si="5"/>
        <v>2028.1</v>
      </c>
      <c r="M30" s="54">
        <f t="shared" si="3"/>
        <v>20281</v>
      </c>
      <c r="O30" s="17"/>
      <c r="P30" s="6"/>
      <c r="Q30" s="48"/>
      <c r="R30" s="8"/>
      <c r="S30" s="49"/>
    </row>
    <row r="31" spans="1:20" ht="75.75" outlineLevel="1" thickBot="1" x14ac:dyDescent="0.3">
      <c r="A31" s="47">
        <v>13</v>
      </c>
      <c r="B31" s="57" t="s">
        <v>54</v>
      </c>
      <c r="C31" s="47" t="s">
        <v>41</v>
      </c>
      <c r="D31" s="51">
        <v>4</v>
      </c>
      <c r="E31" s="52">
        <v>101.3</v>
      </c>
      <c r="F31" s="52">
        <v>150</v>
      </c>
      <c r="G31" s="52">
        <v>158.6</v>
      </c>
      <c r="H31" s="53"/>
      <c r="I31" s="52">
        <f t="shared" si="4"/>
        <v>136.63</v>
      </c>
      <c r="J31" s="54">
        <f t="shared" si="1"/>
        <v>25.229920508968892</v>
      </c>
      <c r="K31" s="54">
        <f t="shared" si="2"/>
        <v>0.18465871703849002</v>
      </c>
      <c r="L31" s="54">
        <f t="shared" si="5"/>
        <v>101.3</v>
      </c>
      <c r="M31" s="54">
        <f t="shared" si="3"/>
        <v>405.2</v>
      </c>
      <c r="O31" s="17"/>
      <c r="P31" s="6"/>
      <c r="Q31" s="48"/>
      <c r="R31" s="8"/>
      <c r="S31" s="49"/>
    </row>
    <row r="32" spans="1:20" ht="75.75" outlineLevel="1" thickBot="1" x14ac:dyDescent="0.3">
      <c r="A32" s="47">
        <v>14</v>
      </c>
      <c r="B32" s="57" t="s">
        <v>55</v>
      </c>
      <c r="C32" s="47" t="s">
        <v>41</v>
      </c>
      <c r="D32" s="51">
        <v>4</v>
      </c>
      <c r="E32" s="52">
        <v>147.1</v>
      </c>
      <c r="F32" s="52">
        <v>150</v>
      </c>
      <c r="G32" s="52">
        <v>158.6</v>
      </c>
      <c r="H32" s="53"/>
      <c r="I32" s="52">
        <f t="shared" si="4"/>
        <v>151.9</v>
      </c>
      <c r="J32" s="54">
        <f t="shared" si="1"/>
        <v>4.8833048918398143</v>
      </c>
      <c r="K32" s="54">
        <f t="shared" si="2"/>
        <v>3.2148155969979025E-2</v>
      </c>
      <c r="L32" s="54">
        <f t="shared" si="5"/>
        <v>151.9</v>
      </c>
      <c r="M32" s="54">
        <f t="shared" si="3"/>
        <v>607.6</v>
      </c>
      <c r="O32" s="17"/>
      <c r="P32" s="6"/>
      <c r="Q32" s="48"/>
      <c r="R32" s="8"/>
      <c r="S32" s="49"/>
    </row>
    <row r="33" spans="1:19" ht="75.75" outlineLevel="1" thickBot="1" x14ac:dyDescent="0.3">
      <c r="A33" s="47">
        <v>15</v>
      </c>
      <c r="B33" s="57" t="s">
        <v>56</v>
      </c>
      <c r="C33" s="47" t="s">
        <v>41</v>
      </c>
      <c r="D33" s="51">
        <v>4</v>
      </c>
      <c r="E33" s="52">
        <v>225.8</v>
      </c>
      <c r="F33" s="52">
        <v>250</v>
      </c>
      <c r="G33" s="52">
        <v>244</v>
      </c>
      <c r="H33" s="53"/>
      <c r="I33" s="52">
        <f t="shared" si="4"/>
        <v>239.93</v>
      </c>
      <c r="J33" s="54">
        <f t="shared" si="1"/>
        <v>10.289584809677962</v>
      </c>
      <c r="K33" s="54">
        <f t="shared" si="2"/>
        <v>4.2885778392355946E-2</v>
      </c>
      <c r="L33" s="54">
        <f t="shared" si="5"/>
        <v>239.93</v>
      </c>
      <c r="M33" s="54">
        <f t="shared" si="3"/>
        <v>959.72</v>
      </c>
      <c r="O33" s="17"/>
      <c r="P33" s="6"/>
      <c r="Q33" s="48"/>
      <c r="R33" s="8"/>
      <c r="S33" s="49"/>
    </row>
    <row r="34" spans="1:19" ht="75.75" outlineLevel="1" thickBot="1" x14ac:dyDescent="0.3">
      <c r="A34" s="47">
        <v>16</v>
      </c>
      <c r="B34" s="57" t="s">
        <v>57</v>
      </c>
      <c r="C34" s="47" t="s">
        <v>41</v>
      </c>
      <c r="D34" s="51">
        <v>4</v>
      </c>
      <c r="E34" s="52">
        <v>225.8</v>
      </c>
      <c r="F34" s="52">
        <v>250</v>
      </c>
      <c r="G34" s="52">
        <v>244</v>
      </c>
      <c r="H34" s="53"/>
      <c r="I34" s="52">
        <f t="shared" si="4"/>
        <v>239.93</v>
      </c>
      <c r="J34" s="54">
        <f t="shared" si="1"/>
        <v>10.289584809677962</v>
      </c>
      <c r="K34" s="54">
        <f t="shared" si="2"/>
        <v>4.2885778392355946E-2</v>
      </c>
      <c r="L34" s="54">
        <f t="shared" si="5"/>
        <v>239.93</v>
      </c>
      <c r="M34" s="54">
        <f t="shared" si="3"/>
        <v>959.72</v>
      </c>
      <c r="O34" s="17"/>
      <c r="P34" s="6"/>
      <c r="Q34" s="48"/>
      <c r="R34" s="8"/>
      <c r="S34" s="49"/>
    </row>
    <row r="35" spans="1:19" ht="75.75" outlineLevel="1" thickBot="1" x14ac:dyDescent="0.3">
      <c r="A35" s="47">
        <v>17</v>
      </c>
      <c r="B35" s="57" t="s">
        <v>58</v>
      </c>
      <c r="C35" s="47" t="s">
        <v>41</v>
      </c>
      <c r="D35" s="51">
        <v>3</v>
      </c>
      <c r="E35" s="52">
        <v>327.9</v>
      </c>
      <c r="F35" s="52">
        <v>350</v>
      </c>
      <c r="G35" s="52">
        <v>335.5</v>
      </c>
      <c r="H35" s="53"/>
      <c r="I35" s="52">
        <f t="shared" si="4"/>
        <v>337.8</v>
      </c>
      <c r="J35" s="54">
        <f t="shared" si="1"/>
        <v>9.1676969118021567</v>
      </c>
      <c r="K35" s="54">
        <f t="shared" si="2"/>
        <v>2.7139422474251499E-2</v>
      </c>
      <c r="L35" s="54">
        <f t="shared" si="5"/>
        <v>337.8</v>
      </c>
      <c r="M35" s="54">
        <f t="shared" si="3"/>
        <v>1013.4000000000001</v>
      </c>
      <c r="O35" s="17"/>
      <c r="P35" s="6"/>
      <c r="Q35" s="48"/>
      <c r="R35" s="8"/>
      <c r="S35" s="49"/>
    </row>
    <row r="36" spans="1:19" ht="57" outlineLevel="1" thickBot="1" x14ac:dyDescent="0.3">
      <c r="A36" s="47">
        <v>18</v>
      </c>
      <c r="B36" s="58" t="s">
        <v>59</v>
      </c>
      <c r="C36" s="47" t="s">
        <v>41</v>
      </c>
      <c r="D36" s="51">
        <v>1</v>
      </c>
      <c r="E36" s="52">
        <v>263.8</v>
      </c>
      <c r="F36" s="52">
        <v>300</v>
      </c>
      <c r="G36" s="52">
        <v>280.60000000000002</v>
      </c>
      <c r="H36" s="53"/>
      <c r="I36" s="52">
        <f t="shared" si="4"/>
        <v>281.47000000000003</v>
      </c>
      <c r="J36" s="54">
        <f t="shared" si="1"/>
        <v>14.791288727566036</v>
      </c>
      <c r="K36" s="54">
        <f t="shared" si="2"/>
        <v>5.2550142919551047E-2</v>
      </c>
      <c r="L36" s="54">
        <f t="shared" si="5"/>
        <v>281.47000000000003</v>
      </c>
      <c r="M36" s="54">
        <f t="shared" si="3"/>
        <v>281.47000000000003</v>
      </c>
      <c r="O36" s="17"/>
      <c r="P36" s="6"/>
      <c r="Q36" s="48"/>
      <c r="R36" s="8"/>
      <c r="S36" s="49"/>
    </row>
    <row r="37" spans="1:19" ht="57" outlineLevel="1" thickBot="1" x14ac:dyDescent="0.3">
      <c r="A37" s="47">
        <v>19</v>
      </c>
      <c r="B37" s="59" t="s">
        <v>60</v>
      </c>
      <c r="C37" s="47" t="s">
        <v>41</v>
      </c>
      <c r="D37" s="51">
        <v>1</v>
      </c>
      <c r="E37" s="52">
        <v>263.8</v>
      </c>
      <c r="F37" s="52">
        <v>300</v>
      </c>
      <c r="G37" s="52">
        <v>280.60000000000002</v>
      </c>
      <c r="H37" s="53"/>
      <c r="I37" s="52">
        <f t="shared" si="4"/>
        <v>281.47000000000003</v>
      </c>
      <c r="J37" s="54">
        <f t="shared" si="1"/>
        <v>14.791288727566036</v>
      </c>
      <c r="K37" s="54">
        <f t="shared" si="2"/>
        <v>5.2550142919551047E-2</v>
      </c>
      <c r="L37" s="54">
        <f t="shared" si="5"/>
        <v>281.47000000000003</v>
      </c>
      <c r="M37" s="54">
        <f t="shared" si="3"/>
        <v>281.47000000000003</v>
      </c>
      <c r="O37" s="17"/>
      <c r="P37" s="6"/>
      <c r="Q37" s="48"/>
      <c r="R37" s="8"/>
      <c r="S37" s="49"/>
    </row>
    <row r="38" spans="1:19" ht="57" outlineLevel="1" thickBot="1" x14ac:dyDescent="0.3">
      <c r="A38" s="47">
        <v>20</v>
      </c>
      <c r="B38" s="59" t="s">
        <v>61</v>
      </c>
      <c r="C38" s="47" t="s">
        <v>41</v>
      </c>
      <c r="D38" s="51">
        <v>1</v>
      </c>
      <c r="E38" s="52">
        <v>263.8</v>
      </c>
      <c r="F38" s="52">
        <v>300</v>
      </c>
      <c r="G38" s="52">
        <v>280.60000000000002</v>
      </c>
      <c r="H38" s="53"/>
      <c r="I38" s="52">
        <f t="shared" si="4"/>
        <v>281.47000000000003</v>
      </c>
      <c r="J38" s="54">
        <f t="shared" si="1"/>
        <v>14.791288727566036</v>
      </c>
      <c r="K38" s="54">
        <f t="shared" si="2"/>
        <v>5.2550142919551047E-2</v>
      </c>
      <c r="L38" s="54">
        <f t="shared" si="5"/>
        <v>281.47000000000003</v>
      </c>
      <c r="M38" s="54">
        <f t="shared" si="3"/>
        <v>281.47000000000003</v>
      </c>
      <c r="O38" s="17"/>
      <c r="P38" s="6"/>
      <c r="Q38" s="48"/>
      <c r="R38" s="8"/>
      <c r="S38" s="49"/>
    </row>
    <row r="39" spans="1:19" ht="113.25" outlineLevel="1" thickBot="1" x14ac:dyDescent="0.3">
      <c r="A39" s="47">
        <v>21</v>
      </c>
      <c r="B39" s="57" t="s">
        <v>62</v>
      </c>
      <c r="C39" s="47" t="s">
        <v>41</v>
      </c>
      <c r="D39" s="51">
        <v>50</v>
      </c>
      <c r="E39" s="52">
        <v>50.4</v>
      </c>
      <c r="F39" s="52">
        <v>53</v>
      </c>
      <c r="G39" s="52">
        <v>61</v>
      </c>
      <c r="H39" s="53"/>
      <c r="I39" s="52">
        <f t="shared" si="4"/>
        <v>54.8</v>
      </c>
      <c r="J39" s="54">
        <f t="shared" si="1"/>
        <v>4.5107279530766062</v>
      </c>
      <c r="K39" s="54">
        <f t="shared" si="2"/>
        <v>8.2312553888259241E-2</v>
      </c>
      <c r="L39" s="54">
        <f t="shared" si="5"/>
        <v>50.4</v>
      </c>
      <c r="M39" s="54">
        <f t="shared" si="3"/>
        <v>2520</v>
      </c>
      <c r="O39" s="17"/>
      <c r="P39" s="6"/>
      <c r="Q39" s="48"/>
      <c r="R39" s="8"/>
      <c r="S39" s="49"/>
    </row>
    <row r="40" spans="1:19" ht="112.5" outlineLevel="1" x14ac:dyDescent="0.25">
      <c r="A40" s="47">
        <v>22</v>
      </c>
      <c r="B40" s="60" t="s">
        <v>63</v>
      </c>
      <c r="C40" s="47" t="s">
        <v>41</v>
      </c>
      <c r="D40" s="51">
        <v>50</v>
      </c>
      <c r="E40" s="52">
        <v>54.1</v>
      </c>
      <c r="F40" s="52">
        <v>55</v>
      </c>
      <c r="G40" s="52">
        <v>61</v>
      </c>
      <c r="H40" s="53"/>
      <c r="I40" s="52">
        <f t="shared" si="4"/>
        <v>56.7</v>
      </c>
      <c r="J40" s="54">
        <f t="shared" si="1"/>
        <v>3.0626785662227105</v>
      </c>
      <c r="K40" s="54">
        <f t="shared" si="2"/>
        <v>5.4015494995109527E-2</v>
      </c>
      <c r="L40" s="54">
        <f t="shared" si="5"/>
        <v>56.7</v>
      </c>
      <c r="M40" s="54">
        <f t="shared" si="3"/>
        <v>2835</v>
      </c>
      <c r="O40" s="17"/>
      <c r="P40" s="6"/>
      <c r="Q40" s="48"/>
      <c r="R40" s="8"/>
      <c r="S40" s="49"/>
    </row>
    <row r="41" spans="1:19" ht="150" outlineLevel="1" x14ac:dyDescent="0.25">
      <c r="A41" s="47">
        <v>23</v>
      </c>
      <c r="B41" s="61" t="s">
        <v>64</v>
      </c>
      <c r="C41" s="47" t="s">
        <v>41</v>
      </c>
      <c r="D41" s="51">
        <v>50</v>
      </c>
      <c r="E41" s="52">
        <v>57.8</v>
      </c>
      <c r="F41" s="52">
        <v>60</v>
      </c>
      <c r="G41" s="52">
        <v>61</v>
      </c>
      <c r="H41" s="53"/>
      <c r="I41" s="52">
        <f t="shared" si="4"/>
        <v>59.6</v>
      </c>
      <c r="J41" s="54">
        <f t="shared" si="1"/>
        <v>1.3366625103842293</v>
      </c>
      <c r="K41" s="54">
        <f t="shared" si="2"/>
        <v>2.242722332859445E-2</v>
      </c>
      <c r="L41" s="54">
        <f t="shared" si="5"/>
        <v>59.6</v>
      </c>
      <c r="M41" s="54">
        <f t="shared" si="3"/>
        <v>2980</v>
      </c>
      <c r="O41" s="17"/>
      <c r="P41" s="6"/>
      <c r="Q41" s="48"/>
      <c r="R41" s="8"/>
      <c r="S41" s="49"/>
    </row>
    <row r="42" spans="1:19" ht="75.75" outlineLevel="1" thickBot="1" x14ac:dyDescent="0.3">
      <c r="A42" s="47">
        <v>24</v>
      </c>
      <c r="B42" s="56" t="s">
        <v>65</v>
      </c>
      <c r="C42" s="47" t="s">
        <v>41</v>
      </c>
      <c r="D42" s="51">
        <v>100</v>
      </c>
      <c r="E42" s="52">
        <v>39.1</v>
      </c>
      <c r="F42" s="52">
        <v>43</v>
      </c>
      <c r="G42" s="52">
        <v>42.7</v>
      </c>
      <c r="H42" s="53"/>
      <c r="I42" s="52">
        <f t="shared" si="4"/>
        <v>41.6</v>
      </c>
      <c r="J42" s="54">
        <f t="shared" si="1"/>
        <v>1.7720045146669348</v>
      </c>
      <c r="K42" s="54">
        <f t="shared" si="2"/>
        <v>4.2596262371801315E-2</v>
      </c>
      <c r="L42" s="54">
        <f>IF(K42&lt;0.06,I42,IF(K42&gt;0.32,$N$56,MIN(E42:G42)))</f>
        <v>41.6</v>
      </c>
      <c r="M42" s="54">
        <f t="shared" si="3"/>
        <v>4160</v>
      </c>
      <c r="O42" s="17"/>
      <c r="P42" s="6" t="s">
        <v>66</v>
      </c>
      <c r="Q42" s="48"/>
      <c r="R42" s="8" t="str">
        <f>VLOOKUP(Q42,[1]Контрагенты!$A$3:$H$3248,4,FALSE)</f>
        <v>ООО "Сантехресурс+"</v>
      </c>
      <c r="S42" s="49" t="str">
        <f>VLOOKUP(Q42,[1]Контрагенты!$A$3:$H$3248,7,FALSE)</f>
        <v/>
      </c>
    </row>
    <row r="43" spans="1:19" ht="66" customHeight="1" outlineLevel="1" thickBot="1" x14ac:dyDescent="0.3">
      <c r="A43" s="47">
        <v>25</v>
      </c>
      <c r="B43" s="60" t="s">
        <v>67</v>
      </c>
      <c r="C43" s="47" t="s">
        <v>68</v>
      </c>
      <c r="D43" s="51">
        <v>1</v>
      </c>
      <c r="E43" s="52">
        <v>1640.3</v>
      </c>
      <c r="F43" s="52">
        <v>1700</v>
      </c>
      <c r="G43" s="52">
        <v>1756.8</v>
      </c>
      <c r="H43" s="53"/>
      <c r="I43" s="52">
        <f t="shared" si="4"/>
        <v>1699.03</v>
      </c>
      <c r="J43" s="54">
        <f t="shared" si="1"/>
        <v>47.565837413934901</v>
      </c>
      <c r="K43" s="54">
        <f t="shared" si="2"/>
        <v>2.799587848003561E-2</v>
      </c>
      <c r="L43" s="54">
        <f t="shared" ref="L43:L47" si="6">IF(K43&lt;0.06,I43,IF(K43&gt;0.32,$N$56,MIN(E43:G43)))</f>
        <v>1699.03</v>
      </c>
      <c r="M43" s="54">
        <f t="shared" si="3"/>
        <v>1699.03</v>
      </c>
      <c r="O43" s="17"/>
      <c r="P43" s="62"/>
      <c r="Q43" s="63"/>
      <c r="R43" s="37"/>
      <c r="S43" s="64"/>
    </row>
    <row r="44" spans="1:19" ht="57" outlineLevel="1" thickBot="1" x14ac:dyDescent="0.3">
      <c r="A44" s="47">
        <v>26</v>
      </c>
      <c r="B44" s="65" t="s">
        <v>69</v>
      </c>
      <c r="C44" s="47" t="s">
        <v>41</v>
      </c>
      <c r="D44" s="51">
        <v>3</v>
      </c>
      <c r="E44" s="52">
        <v>864.9</v>
      </c>
      <c r="F44" s="52">
        <v>900</v>
      </c>
      <c r="G44" s="52">
        <v>1047.98</v>
      </c>
      <c r="H44" s="53"/>
      <c r="I44" s="52">
        <f t="shared" si="4"/>
        <v>937.63</v>
      </c>
      <c r="J44" s="54">
        <f t="shared" si="1"/>
        <v>79.336398260123275</v>
      </c>
      <c r="K44" s="54">
        <f t="shared" si="2"/>
        <v>8.4613758369637568E-2</v>
      </c>
      <c r="L44" s="54">
        <f t="shared" si="6"/>
        <v>864.9</v>
      </c>
      <c r="M44" s="54">
        <f t="shared" si="3"/>
        <v>2594.6999999999998</v>
      </c>
      <c r="O44" s="17"/>
      <c r="P44" s="62"/>
      <c r="Q44" s="63"/>
      <c r="R44" s="37"/>
      <c r="S44" s="64"/>
    </row>
    <row r="45" spans="1:19" ht="57" outlineLevel="1" thickBot="1" x14ac:dyDescent="0.3">
      <c r="A45" s="47">
        <v>27</v>
      </c>
      <c r="B45" s="57" t="s">
        <v>70</v>
      </c>
      <c r="C45" s="47" t="s">
        <v>71</v>
      </c>
      <c r="D45" s="51">
        <v>5</v>
      </c>
      <c r="E45" s="52">
        <v>100.1</v>
      </c>
      <c r="F45" s="52">
        <v>100</v>
      </c>
      <c r="G45" s="52">
        <v>103.7</v>
      </c>
      <c r="H45" s="53"/>
      <c r="I45" s="52">
        <f t="shared" si="4"/>
        <v>101.27</v>
      </c>
      <c r="J45" s="54">
        <f t="shared" si="1"/>
        <v>1.7211107524567475</v>
      </c>
      <c r="K45" s="54">
        <f t="shared" si="2"/>
        <v>1.699526762572082E-2</v>
      </c>
      <c r="L45" s="54">
        <f t="shared" si="6"/>
        <v>101.27</v>
      </c>
      <c r="M45" s="54">
        <f t="shared" si="3"/>
        <v>506.34999999999997</v>
      </c>
      <c r="O45" s="17"/>
      <c r="P45" s="62"/>
      <c r="Q45" s="63"/>
      <c r="R45" s="37"/>
      <c r="S45" s="64"/>
    </row>
    <row r="46" spans="1:19" ht="57" outlineLevel="1" thickBot="1" x14ac:dyDescent="0.3">
      <c r="A46" s="47">
        <v>28</v>
      </c>
      <c r="B46" s="57" t="s">
        <v>72</v>
      </c>
      <c r="C46" s="47" t="s">
        <v>71</v>
      </c>
      <c r="D46" s="51">
        <v>2</v>
      </c>
      <c r="E46" s="52">
        <v>165.5</v>
      </c>
      <c r="F46" s="52">
        <v>170</v>
      </c>
      <c r="G46" s="52">
        <v>178.12</v>
      </c>
      <c r="H46" s="53"/>
      <c r="I46" s="52">
        <f t="shared" si="4"/>
        <v>171.21</v>
      </c>
      <c r="J46" s="54">
        <f t="shared" si="1"/>
        <v>5.2222685577140622</v>
      </c>
      <c r="K46" s="54">
        <f t="shared" si="2"/>
        <v>3.0502123460744476E-2</v>
      </c>
      <c r="L46" s="54">
        <f t="shared" si="6"/>
        <v>171.21</v>
      </c>
      <c r="M46" s="54">
        <f t="shared" si="3"/>
        <v>342.42</v>
      </c>
      <c r="O46" s="17"/>
      <c r="P46" s="62"/>
      <c r="Q46" s="63"/>
      <c r="R46" s="37"/>
      <c r="S46" s="64"/>
    </row>
    <row r="47" spans="1:19" ht="115.5" customHeight="1" outlineLevel="1" x14ac:dyDescent="0.25">
      <c r="A47" s="47">
        <v>29</v>
      </c>
      <c r="B47" s="50" t="s">
        <v>73</v>
      </c>
      <c r="C47" s="47" t="s">
        <v>74</v>
      </c>
      <c r="D47" s="51">
        <v>1</v>
      </c>
      <c r="E47" s="52">
        <v>2537.6</v>
      </c>
      <c r="F47" s="52">
        <v>2650</v>
      </c>
      <c r="G47" s="52">
        <v>2684</v>
      </c>
      <c r="H47" s="53"/>
      <c r="I47" s="52">
        <f t="shared" si="4"/>
        <v>2623.87</v>
      </c>
      <c r="J47" s="54">
        <f t="shared" si="1"/>
        <v>62.559056543042274</v>
      </c>
      <c r="K47" s="54">
        <f t="shared" si="2"/>
        <v>2.3842285076258456E-2</v>
      </c>
      <c r="L47" s="54">
        <f t="shared" si="6"/>
        <v>2623.87</v>
      </c>
      <c r="M47" s="54">
        <f t="shared" si="3"/>
        <v>2623.87</v>
      </c>
      <c r="O47" s="17"/>
      <c r="P47" s="62"/>
      <c r="Q47" s="63"/>
      <c r="R47" s="37"/>
      <c r="S47" s="64"/>
    </row>
    <row r="48" spans="1:19" ht="73.5" customHeight="1" outlineLevel="1" x14ac:dyDescent="0.25">
      <c r="A48" s="47">
        <v>30</v>
      </c>
      <c r="B48" s="66" t="s">
        <v>75</v>
      </c>
      <c r="C48" s="47" t="s">
        <v>41</v>
      </c>
      <c r="D48" s="51">
        <v>7000</v>
      </c>
      <c r="E48" s="52">
        <v>4.0999999999999996</v>
      </c>
      <c r="F48" s="52">
        <v>5</v>
      </c>
      <c r="G48" s="52">
        <v>4.88</v>
      </c>
      <c r="H48" s="53"/>
      <c r="I48" s="52">
        <f t="shared" si="4"/>
        <v>4.66</v>
      </c>
      <c r="J48" s="54">
        <f t="shared" si="1"/>
        <v>0.3989987468652002</v>
      </c>
      <c r="K48" s="54">
        <f t="shared" si="2"/>
        <v>8.5622048683519358E-2</v>
      </c>
      <c r="L48" s="54">
        <f>IF(K48&lt;0.06,I48,IF(K48&gt;0.32,$N$56,MIN(E48:G48)))</f>
        <v>4.0999999999999996</v>
      </c>
      <c r="M48" s="54">
        <f t="shared" si="3"/>
        <v>28699.999999999996</v>
      </c>
      <c r="O48" s="17"/>
      <c r="P48" s="17"/>
      <c r="Q48" s="17"/>
      <c r="R48" s="67" t="s">
        <v>76</v>
      </c>
      <c r="S48" s="67" t="s">
        <v>76</v>
      </c>
    </row>
    <row r="49" spans="1:19" ht="57" outlineLevel="1" thickBot="1" x14ac:dyDescent="0.3">
      <c r="A49" s="47">
        <v>31</v>
      </c>
      <c r="B49" s="57" t="s">
        <v>77</v>
      </c>
      <c r="C49" s="47" t="s">
        <v>78</v>
      </c>
      <c r="D49" s="51">
        <v>300</v>
      </c>
      <c r="E49" s="52">
        <v>114</v>
      </c>
      <c r="F49" s="52">
        <v>120</v>
      </c>
      <c r="G49" s="52">
        <v>122</v>
      </c>
      <c r="H49" s="53"/>
      <c r="I49" s="52">
        <f t="shared" si="4"/>
        <v>118.67</v>
      </c>
      <c r="J49" s="54">
        <f t="shared" si="1"/>
        <v>3.39934634239519</v>
      </c>
      <c r="K49" s="54">
        <f t="shared" si="2"/>
        <v>2.8645372397364033E-2</v>
      </c>
      <c r="L49" s="54">
        <f t="shared" ref="L49:L51" si="7">IF(K49&lt;0.06,I49,IF(K49&gt;0.32,$N$56,MIN(E49:G49)))</f>
        <v>118.67</v>
      </c>
      <c r="M49" s="54">
        <f t="shared" si="3"/>
        <v>35601</v>
      </c>
      <c r="O49" s="17"/>
      <c r="P49" s="17"/>
      <c r="Q49" s="17"/>
      <c r="R49" s="67"/>
      <c r="S49" s="67"/>
    </row>
    <row r="50" spans="1:19" ht="57" outlineLevel="1" thickBot="1" x14ac:dyDescent="0.3">
      <c r="A50" s="47">
        <v>32</v>
      </c>
      <c r="B50" s="50" t="s">
        <v>79</v>
      </c>
      <c r="C50" s="47" t="s">
        <v>78</v>
      </c>
      <c r="D50" s="51">
        <v>200</v>
      </c>
      <c r="E50" s="52">
        <v>184.7</v>
      </c>
      <c r="F50" s="52">
        <v>191</v>
      </c>
      <c r="G50" s="52">
        <v>189.1</v>
      </c>
      <c r="H50" s="53"/>
      <c r="I50" s="52">
        <f t="shared" si="4"/>
        <v>188.27</v>
      </c>
      <c r="J50" s="54">
        <f t="shared" si="1"/>
        <v>2.6386023236217779</v>
      </c>
      <c r="K50" s="54">
        <f t="shared" si="2"/>
        <v>1.4014990830306356E-2</v>
      </c>
      <c r="L50" s="54">
        <f t="shared" si="7"/>
        <v>188.27</v>
      </c>
      <c r="M50" s="54">
        <f t="shared" si="3"/>
        <v>37654</v>
      </c>
      <c r="O50" s="17"/>
      <c r="P50" s="17"/>
      <c r="Q50" s="17"/>
      <c r="R50" s="67"/>
      <c r="S50" s="67"/>
    </row>
    <row r="51" spans="1:19" ht="38.25" outlineLevel="1" thickBot="1" x14ac:dyDescent="0.3">
      <c r="A51" s="47">
        <v>33</v>
      </c>
      <c r="B51" s="55" t="s">
        <v>80</v>
      </c>
      <c r="C51" s="47" t="s">
        <v>81</v>
      </c>
      <c r="D51" s="51">
        <v>1</v>
      </c>
      <c r="E51" s="52">
        <v>3516.5</v>
      </c>
      <c r="F51" s="52">
        <v>3600</v>
      </c>
      <c r="G51" s="52">
        <v>3843</v>
      </c>
      <c r="H51" s="53"/>
      <c r="I51" s="52">
        <f t="shared" si="4"/>
        <v>3653.17</v>
      </c>
      <c r="J51" s="54">
        <f t="shared" si="1"/>
        <v>138.49328102434751</v>
      </c>
      <c r="K51" s="54">
        <f t="shared" si="2"/>
        <v>3.7910439706979833E-2</v>
      </c>
      <c r="L51" s="54">
        <f t="shared" si="7"/>
        <v>3653.17</v>
      </c>
      <c r="M51" s="54">
        <f t="shared" si="3"/>
        <v>3653.17</v>
      </c>
      <c r="O51" s="17"/>
      <c r="P51" s="17"/>
      <c r="Q51" s="17"/>
      <c r="R51" s="67"/>
      <c r="S51" s="67"/>
    </row>
    <row r="52" spans="1:19" ht="38.25" outlineLevel="1" thickBot="1" x14ac:dyDescent="0.3">
      <c r="A52" s="47">
        <v>34</v>
      </c>
      <c r="B52" s="56" t="s">
        <v>82</v>
      </c>
      <c r="C52" s="47" t="s">
        <v>81</v>
      </c>
      <c r="D52" s="51">
        <v>1</v>
      </c>
      <c r="E52" s="52">
        <v>3516.5</v>
      </c>
      <c r="F52" s="52">
        <v>3600</v>
      </c>
      <c r="G52" s="52">
        <v>3843</v>
      </c>
      <c r="H52" s="53"/>
      <c r="I52" s="52">
        <f t="shared" si="4"/>
        <v>3653.17</v>
      </c>
      <c r="J52" s="54">
        <f t="shared" si="1"/>
        <v>138.49328102434751</v>
      </c>
      <c r="K52" s="54">
        <f t="shared" si="2"/>
        <v>3.7910439706979833E-2</v>
      </c>
      <c r="L52" s="54">
        <f>IF(K52&lt;0.06,I52,IF(K52&gt;0.32,$N$56,MIN(E52:G52)))</f>
        <v>3653.17</v>
      </c>
      <c r="M52" s="54">
        <f t="shared" si="3"/>
        <v>3653.17</v>
      </c>
      <c r="O52" s="17"/>
      <c r="P52" s="17"/>
      <c r="Q52" s="17"/>
      <c r="R52" s="67"/>
      <c r="S52" s="67"/>
    </row>
    <row r="53" spans="1:19" ht="38.25" outlineLevel="1" thickBot="1" x14ac:dyDescent="0.3">
      <c r="A53" s="47">
        <v>35</v>
      </c>
      <c r="B53" s="56" t="s">
        <v>83</v>
      </c>
      <c r="C53" s="47" t="s">
        <v>81</v>
      </c>
      <c r="D53" s="51">
        <v>1</v>
      </c>
      <c r="E53" s="52">
        <v>3516.5</v>
      </c>
      <c r="F53" s="52">
        <v>3600</v>
      </c>
      <c r="G53" s="52">
        <v>3843</v>
      </c>
      <c r="H53" s="53"/>
      <c r="I53" s="52">
        <f t="shared" si="4"/>
        <v>3653.17</v>
      </c>
      <c r="J53" s="54">
        <f t="shared" si="1"/>
        <v>138.49328102434751</v>
      </c>
      <c r="K53" s="54">
        <f t="shared" si="2"/>
        <v>3.7910439706979833E-2</v>
      </c>
      <c r="L53" s="54">
        <f>IF(K53&lt;0.06,I53,IF(K53&gt;0.32,$N$56,MIN(E53:G53)))</f>
        <v>3653.17</v>
      </c>
      <c r="M53" s="54">
        <f t="shared" si="3"/>
        <v>3653.17</v>
      </c>
      <c r="O53" s="17"/>
      <c r="P53" s="17"/>
      <c r="Q53" s="17"/>
      <c r="R53" s="17"/>
      <c r="S53" s="17"/>
    </row>
    <row r="54" spans="1:19" ht="38.25" outlineLevel="1" thickBot="1" x14ac:dyDescent="0.3">
      <c r="A54" s="47">
        <f t="shared" ref="A54:A55" si="8">A53+1</f>
        <v>36</v>
      </c>
      <c r="B54" s="56" t="s">
        <v>84</v>
      </c>
      <c r="C54" s="47" t="s">
        <v>81</v>
      </c>
      <c r="D54" s="51">
        <v>1</v>
      </c>
      <c r="E54" s="52">
        <v>3516.5</v>
      </c>
      <c r="F54" s="52">
        <v>3600</v>
      </c>
      <c r="G54" s="52">
        <v>3843</v>
      </c>
      <c r="H54" s="53"/>
      <c r="I54" s="52">
        <f t="shared" si="4"/>
        <v>3653.17</v>
      </c>
      <c r="J54" s="54">
        <f t="shared" si="1"/>
        <v>138.49328102434751</v>
      </c>
      <c r="K54" s="54">
        <f t="shared" si="2"/>
        <v>3.7910439706979833E-2</v>
      </c>
      <c r="L54" s="54">
        <f>IF(K54&lt;0.06,I54,IF(K54&gt;0.32,$N$56,MIN(E54:G54)))</f>
        <v>3653.17</v>
      </c>
      <c r="M54" s="54">
        <f t="shared" si="3"/>
        <v>3653.17</v>
      </c>
      <c r="P54" s="17"/>
      <c r="Q54" s="17"/>
      <c r="R54" s="17"/>
      <c r="S54" s="17"/>
    </row>
    <row r="55" spans="1:19" ht="49.5" customHeight="1" outlineLevel="1" thickBot="1" x14ac:dyDescent="0.3">
      <c r="A55" s="47">
        <f t="shared" si="8"/>
        <v>37</v>
      </c>
      <c r="B55" s="56" t="s">
        <v>85</v>
      </c>
      <c r="C55" s="47" t="s">
        <v>81</v>
      </c>
      <c r="D55" s="51">
        <v>1</v>
      </c>
      <c r="E55" s="52">
        <v>3516.5</v>
      </c>
      <c r="F55" s="52">
        <v>3600</v>
      </c>
      <c r="G55" s="52">
        <v>3843</v>
      </c>
      <c r="H55" s="53"/>
      <c r="I55" s="52">
        <f t="shared" si="4"/>
        <v>3653.17</v>
      </c>
      <c r="J55" s="54">
        <f t="shared" si="1"/>
        <v>138.49328102434751</v>
      </c>
      <c r="K55" s="54">
        <f t="shared" si="2"/>
        <v>3.7910439706979833E-2</v>
      </c>
      <c r="L55" s="54">
        <f t="shared" ref="L55" si="9">IF(K55&lt;0.06,I55,IF(K55&gt;0.32,$N$56,MIN(E55:G55)))</f>
        <v>3653.17</v>
      </c>
      <c r="M55" s="54">
        <f>IFERROR(L55*D55,"")</f>
        <v>3653.17</v>
      </c>
      <c r="N55" s="68"/>
      <c r="O55" s="17"/>
      <c r="P55" s="17"/>
      <c r="Q55" s="17"/>
      <c r="R55" s="17"/>
      <c r="S55" s="17"/>
    </row>
    <row r="56" spans="1:19" s="76" customFormat="1" ht="48" customHeight="1" x14ac:dyDescent="0.25">
      <c r="A56" s="69"/>
      <c r="B56" s="70" t="s">
        <v>86</v>
      </c>
      <c r="C56" s="71" t="s">
        <v>87</v>
      </c>
      <c r="D56" s="71" t="s">
        <v>87</v>
      </c>
      <c r="E56" s="72">
        <f>IFERROR(SUMPRODUCT($D$19:$D$55,E19:E55),"Х")</f>
        <v>572295.30000000005</v>
      </c>
      <c r="F56" s="72">
        <f>IFERROR(SUMPRODUCT($D$19:$D$55,F19:F55),"Х")</f>
        <v>591270</v>
      </c>
      <c r="G56" s="72">
        <f>IFERROR(SUMPRODUCT($D$19:$D$55,G19:G55),"Х")</f>
        <v>594077.78</v>
      </c>
      <c r="H56" s="52">
        <f>IFERROR(SUMPRODUCT($D$19:$D$55,H19:H55),"Х")</f>
        <v>0</v>
      </c>
      <c r="I56" s="52">
        <f t="shared" si="4"/>
        <v>585881.03</v>
      </c>
      <c r="J56" s="54">
        <f>_xlfn.STDEV.P($E56:$G56)</f>
        <v>9674.705298806537</v>
      </c>
      <c r="K56" s="71" t="s">
        <v>88</v>
      </c>
      <c r="L56" s="71" t="s">
        <v>88</v>
      </c>
      <c r="M56" s="73">
        <f>SUM(M19:M55)</f>
        <v>581383.21000000008</v>
      </c>
      <c r="N56" s="74" t="s">
        <v>89</v>
      </c>
      <c r="O56" s="17"/>
      <c r="P56" s="75"/>
      <c r="Q56" s="17"/>
      <c r="R56" s="17"/>
      <c r="S56" s="75"/>
    </row>
    <row r="57" spans="1:19" ht="31.5" x14ac:dyDescent="0.25">
      <c r="A57" s="77"/>
      <c r="B57" s="78" t="s">
        <v>90</v>
      </c>
      <c r="C57" s="79"/>
      <c r="D57" s="79"/>
      <c r="E57" s="80">
        <v>46241</v>
      </c>
      <c r="F57" s="80">
        <v>46241</v>
      </c>
      <c r="G57" s="80">
        <v>46241</v>
      </c>
      <c r="H57" s="79"/>
      <c r="I57" s="79"/>
      <c r="J57" s="81"/>
      <c r="K57" s="82"/>
      <c r="L57" s="82"/>
      <c r="M57" s="81"/>
      <c r="O57" s="17"/>
      <c r="P57" s="17"/>
      <c r="R57" s="17"/>
      <c r="S57" s="17"/>
    </row>
    <row r="58" spans="1:19" x14ac:dyDescent="0.25">
      <c r="A58" s="83"/>
      <c r="B58" s="83"/>
      <c r="C58" s="83"/>
      <c r="D58" s="83"/>
      <c r="E58" s="83"/>
      <c r="F58" s="83"/>
      <c r="G58" s="83"/>
      <c r="H58" s="83"/>
      <c r="I58" s="83"/>
      <c r="J58" s="83"/>
      <c r="K58" s="83"/>
      <c r="L58" s="83"/>
      <c r="M58" s="83"/>
      <c r="O58" s="17"/>
      <c r="P58" s="17"/>
      <c r="Q58" s="17"/>
      <c r="R58" s="17"/>
      <c r="S58" s="17"/>
    </row>
    <row r="59" spans="1:19" x14ac:dyDescent="0.25">
      <c r="A59" s="84"/>
      <c r="B59" s="84"/>
      <c r="C59" s="84"/>
      <c r="D59" s="84"/>
      <c r="E59" s="84"/>
      <c r="F59" s="84"/>
      <c r="G59" s="84"/>
      <c r="H59" s="84"/>
      <c r="I59" s="84"/>
      <c r="J59" s="84"/>
      <c r="K59" s="84"/>
      <c r="L59" s="84"/>
      <c r="M59" s="84"/>
      <c r="O59" s="17"/>
    </row>
    <row r="60" spans="1:19" ht="18.75" x14ac:dyDescent="0.3">
      <c r="B60" s="85" t="str">
        <f>[1]ЗАКУПКА!C4</f>
        <v>Директор по информационным ресурсам</v>
      </c>
      <c r="C60" s="3"/>
      <c r="D60" s="3"/>
      <c r="E60" s="3"/>
      <c r="F60" s="3"/>
      <c r="G60" s="3"/>
      <c r="H60" s="86"/>
      <c r="I60" s="86"/>
      <c r="J60" s="87"/>
      <c r="K60" s="88" t="str">
        <f>[1]ЗАКУПКА!D4</f>
        <v>А.В. Кодолов</v>
      </c>
      <c r="L60" s="37"/>
    </row>
    <row r="61" spans="1:19" ht="18.75" x14ac:dyDescent="0.3">
      <c r="B61" s="3"/>
      <c r="C61" s="3"/>
      <c r="D61" s="3"/>
      <c r="E61" s="3"/>
      <c r="F61" s="3"/>
      <c r="G61" s="3"/>
      <c r="H61" s="3"/>
      <c r="I61" s="3"/>
      <c r="J61" s="3"/>
      <c r="K61" s="3"/>
    </row>
    <row r="62" spans="1:19" ht="18.75" x14ac:dyDescent="0.3">
      <c r="B62" s="3"/>
      <c r="C62" s="3"/>
      <c r="D62" s="3"/>
      <c r="E62" s="3"/>
      <c r="F62" s="3"/>
      <c r="G62" s="3"/>
      <c r="H62" s="3"/>
      <c r="I62" s="3"/>
      <c r="J62" s="3"/>
      <c r="K62" s="3"/>
    </row>
    <row r="63" spans="1:19" ht="18.75" x14ac:dyDescent="0.3">
      <c r="B63" s="89" t="str">
        <f>[1]ЗАКУПКА!C77</f>
        <v>Инженер II категории Тарабрина О.М.</v>
      </c>
      <c r="C63" s="3"/>
      <c r="D63" s="3"/>
      <c r="E63" s="3"/>
      <c r="F63" s="3"/>
      <c r="G63" s="3"/>
      <c r="H63" s="3"/>
      <c r="I63" s="3"/>
      <c r="J63" s="3"/>
      <c r="K63" s="3"/>
    </row>
    <row r="64" spans="1:19" ht="18.75" x14ac:dyDescent="0.3">
      <c r="B64" s="90" t="str">
        <f>[1]ЗАКУПКА!C78</f>
        <v>66-56</v>
      </c>
      <c r="C64" s="3"/>
      <c r="D64" s="3"/>
      <c r="E64" s="3"/>
      <c r="F64" s="3"/>
      <c r="G64" s="3"/>
      <c r="H64" s="3"/>
      <c r="I64" s="3"/>
      <c r="J64" s="3"/>
      <c r="K64" s="3"/>
    </row>
    <row r="65" spans="1:13" ht="18.75" x14ac:dyDescent="0.3">
      <c r="B65" s="91" t="s">
        <v>91</v>
      </c>
      <c r="C65" s="92">
        <f ca="1">[1]ЗАКУПКА!B1</f>
        <v>46251</v>
      </c>
      <c r="D65" s="92"/>
      <c r="E65" s="3"/>
      <c r="F65" s="3"/>
      <c r="G65" s="3"/>
      <c r="H65" s="3"/>
      <c r="I65" s="3"/>
      <c r="J65" s="3"/>
      <c r="K65" s="3"/>
    </row>
    <row r="66" spans="1:13" ht="18.75" x14ac:dyDescent="0.3">
      <c r="B66" s="3"/>
      <c r="C66" s="3"/>
      <c r="D66" s="3"/>
      <c r="E66" s="3"/>
      <c r="F66" s="3"/>
      <c r="G66" s="3"/>
      <c r="H66" s="3"/>
      <c r="I66" s="3"/>
      <c r="J66" s="3"/>
      <c r="K66" s="3"/>
    </row>
    <row r="67" spans="1:13" ht="15.75" customHeight="1" x14ac:dyDescent="0.25"/>
    <row r="69" spans="1:13" outlineLevel="1" x14ac:dyDescent="0.25">
      <c r="A69" s="93" t="s">
        <v>92</v>
      </c>
    </row>
    <row r="70" spans="1:13" ht="170.25" customHeight="1" outlineLevel="1" x14ac:dyDescent="0.25">
      <c r="A70" s="94" t="s">
        <v>93</v>
      </c>
      <c r="B70" s="94"/>
      <c r="C70" s="94"/>
      <c r="D70" s="94"/>
      <c r="E70" s="94"/>
      <c r="F70" s="94"/>
      <c r="G70" s="94"/>
      <c r="H70" s="94"/>
      <c r="I70" s="94"/>
      <c r="J70" s="94"/>
      <c r="K70" s="94"/>
      <c r="L70" s="94"/>
      <c r="M70" s="94"/>
    </row>
    <row r="73" spans="1:13" x14ac:dyDescent="0.25">
      <c r="M73" s="95"/>
    </row>
  </sheetData>
  <mergeCells count="32">
    <mergeCell ref="A70:M70"/>
    <mergeCell ref="I16:I17"/>
    <mergeCell ref="J16:J17"/>
    <mergeCell ref="K16:K17"/>
    <mergeCell ref="L16:L17"/>
    <mergeCell ref="M16:M17"/>
    <mergeCell ref="C65:D65"/>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9"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2026-08-17T03:30:38Z</dcterms:created>
  <dcterms:modified xsi:type="dcterms:W3CDTF">2026-08-17T03:31:02Z</dcterms:modified>
</cp:coreProperties>
</file>