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\Documents\2026 год\Единственный поставщик\096 строительные материалы\"/>
    </mc:Choice>
  </mc:AlternateContent>
  <bookViews>
    <workbookView xWindow="0" yWindow="0" windowWidth="28800" windowHeight="12030"/>
  </bookViews>
  <sheets>
    <sheet name="Лист1" sheetId="1" r:id="rId1"/>
  </sheets>
  <definedNames>
    <definedName name="_xlnm.Print_Area" localSheetId="0">Лист1!$A$1:$L$26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G5" i="1"/>
  <c r="F5" i="1"/>
  <c r="H9" i="1"/>
  <c r="H8" i="1"/>
  <c r="G9" i="1"/>
  <c r="F9" i="1"/>
  <c r="G8" i="1"/>
  <c r="F8" i="1"/>
  <c r="H19" i="1"/>
  <c r="G19" i="1"/>
  <c r="F19" i="1"/>
  <c r="H11" i="1"/>
  <c r="G11" i="1"/>
  <c r="F11" i="1"/>
  <c r="H6" i="1"/>
  <c r="G6" i="1"/>
  <c r="H7" i="1"/>
  <c r="G7" i="1"/>
  <c r="F7" i="1"/>
  <c r="F6" i="1"/>
  <c r="A6" i="1" l="1"/>
  <c r="A7" i="1" s="1"/>
  <c r="A8" i="1" s="1"/>
  <c r="A9" i="1" s="1"/>
  <c r="I6" i="1"/>
  <c r="L6" i="1" s="1"/>
  <c r="J6" i="1"/>
  <c r="I7" i="1"/>
  <c r="L7" i="1" s="1"/>
  <c r="J7" i="1"/>
  <c r="I8" i="1"/>
  <c r="L8" i="1" s="1"/>
  <c r="J8" i="1"/>
  <c r="I9" i="1"/>
  <c r="L9" i="1" s="1"/>
  <c r="J9" i="1"/>
  <c r="I10" i="1"/>
  <c r="L10" i="1" s="1"/>
  <c r="J10" i="1"/>
  <c r="I11" i="1"/>
  <c r="L11" i="1" s="1"/>
  <c r="J11" i="1"/>
  <c r="I12" i="1"/>
  <c r="L12" i="1" s="1"/>
  <c r="J12" i="1"/>
  <c r="I13" i="1"/>
  <c r="L13" i="1" s="1"/>
  <c r="J13" i="1"/>
  <c r="I14" i="1"/>
  <c r="L14" i="1" s="1"/>
  <c r="J14" i="1"/>
  <c r="I15" i="1"/>
  <c r="L15" i="1" s="1"/>
  <c r="J15" i="1"/>
  <c r="I16" i="1"/>
  <c r="L16" i="1" s="1"/>
  <c r="J16" i="1"/>
  <c r="I17" i="1"/>
  <c r="L17" i="1" s="1"/>
  <c r="J17" i="1"/>
  <c r="I18" i="1"/>
  <c r="L18" i="1" s="1"/>
  <c r="J18" i="1"/>
  <c r="I19" i="1"/>
  <c r="L19" i="1" s="1"/>
  <c r="J19" i="1"/>
  <c r="I20" i="1"/>
  <c r="L20" i="1" s="1"/>
  <c r="J20" i="1"/>
  <c r="I21" i="1"/>
  <c r="L21" i="1" s="1"/>
  <c r="J21" i="1"/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K21" i="1"/>
  <c r="K17" i="1"/>
  <c r="K13" i="1"/>
  <c r="K9" i="1"/>
  <c r="K6" i="1"/>
  <c r="K19" i="1"/>
  <c r="K15" i="1"/>
  <c r="K11" i="1"/>
  <c r="K8" i="1"/>
  <c r="K18" i="1"/>
  <c r="K14" i="1"/>
  <c r="K10" i="1"/>
  <c r="K7" i="1"/>
  <c r="K20" i="1"/>
  <c r="K16" i="1"/>
  <c r="K12" i="1"/>
  <c r="I5" i="1" l="1"/>
  <c r="L5" i="1" l="1"/>
  <c r="J5" i="1"/>
  <c r="K5" i="1" s="1"/>
  <c r="L22" i="1" l="1"/>
</calcChain>
</file>

<file path=xl/sharedStrings.xml><?xml version="1.0" encoding="utf-8"?>
<sst xmlns="http://schemas.openxmlformats.org/spreadsheetml/2006/main" count="50" uniqueCount="36">
  <si>
    <t>Среднее арифметич. цен ед. товара,                   руб.             &lt;ц&gt;</t>
  </si>
  <si>
    <t>Среднее квадратичное отклонение</t>
  </si>
  <si>
    <r>
      <t xml:space="preserve">Коэффициент вариации цен V (%)
</t>
    </r>
    <r>
      <rPr>
        <b/>
        <i/>
        <sz val="8"/>
        <color indexed="8"/>
        <rFont val="Times New Roman"/>
        <family val="1"/>
        <charset val="204"/>
      </rPr>
      <t>(не должен превышать 33%)</t>
    </r>
  </si>
  <si>
    <r>
      <rPr>
        <b/>
        <sz val="8"/>
        <color indexed="8"/>
        <rFont val="Times New Roman"/>
        <family val="1"/>
        <charset val="204"/>
      </rPr>
      <t>Расчет Н(М)ЦК по формуле</t>
    </r>
    <r>
      <rPr>
        <sz val="8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</si>
  <si>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ИТОГО</t>
  </si>
  <si>
    <t>№                                          п/п</t>
  </si>
  <si>
    <t>Объект закупки</t>
  </si>
  <si>
    <t xml:space="preserve">ОБОСНОВАНИЕ НАЧАЛЬНОЙ (МАКСИМАЛЬНОЙ) ЦЕНЫ КОНТРАКТА </t>
  </si>
  <si>
    <t>Используемый метод:  метод сопоставимых рыночных цен (анализ рынка)</t>
  </si>
  <si>
    <t>Кол-во используемых ценовых предложений</t>
  </si>
  <si>
    <t>Кол-во</t>
  </si>
  <si>
    <t>ГКЛ</t>
  </si>
  <si>
    <t>Клей</t>
  </si>
  <si>
    <t>Бетоноконтакт</t>
  </si>
  <si>
    <t>Штукатурка гипсовая</t>
  </si>
  <si>
    <t>Шпаклевка</t>
  </si>
  <si>
    <t xml:space="preserve">Уголок перфорированный </t>
  </si>
  <si>
    <t>Стержень ручка для валика</t>
  </si>
  <si>
    <t xml:space="preserve">Кисть </t>
  </si>
  <si>
    <t>Ведро строительное</t>
  </si>
  <si>
    <t>Сетка абразивная</t>
  </si>
  <si>
    <t>Дюбель-гвоздь гриб</t>
  </si>
  <si>
    <t>Бур по бетону</t>
  </si>
  <si>
    <t>Краска термостойкая</t>
  </si>
  <si>
    <t>Антиплесень</t>
  </si>
  <si>
    <t>Краска интерьерная</t>
  </si>
  <si>
    <t>Ед изм.</t>
  </si>
  <si>
    <t>шт.</t>
  </si>
  <si>
    <t>кг</t>
  </si>
  <si>
    <t>л</t>
  </si>
  <si>
    <t>Валик с рукояткой</t>
  </si>
  <si>
    <t>КП №2</t>
  </si>
  <si>
    <t>КП №1</t>
  </si>
  <si>
    <t>КП №3</t>
  </si>
  <si>
    <t>Кисть радиаторная</t>
  </si>
  <si>
    <r>
      <t>Начальная (максимальная) цена контракта равна 15 903,48 рублей.</t>
    </r>
    <r>
      <rPr>
        <sz val="11"/>
        <color rgb="FFFF0000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Начальная (максимальная) цена контракта определена по методу сопоставимых цен (анализа рынка). Расчет начальной (максимальной) цены контракта выполнен в соответствии с методическими рекомендациями, утвержденными приказом Минэкономразвития РФ от 02.10.2013 №567, на основе коммерческих предложений.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</si>
</sst>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8"/>
      <color theme="1"/>
      <name val="Arial"/>
      <family val="2"/>
      <charset val="204"/>
    </font>
    <font>
      <b/>
      <sz val="8"/>
      <color rgb="FF1C1C1C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7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0" fontId="7" fillId="2" borderId="0" xfId="0" applyFont="1" applyFill="1" applyAlignment="1">
      <alignment horizontal="center"/>
    </xf>
    <xf numFmtId="0" fontId="7" fillId="0" borderId="0" xfId="0" applyFont="1" applyBorder="1"/>
    <xf numFmtId="0" fontId="7" fillId="2" borderId="0" xfId="0" applyFont="1" applyFill="1" applyBorder="1" applyAlignment="1">
      <alignment horizontal="center"/>
    </xf>
    <xf numFmtId="2" fontId="6" fillId="0" borderId="0" xfId="0" applyNumberFormat="1" applyFont="1" applyBorder="1"/>
    <xf numFmtId="2" fontId="7" fillId="0" borderId="0" xfId="0" applyNumberFormat="1" applyFont="1" applyBorder="1"/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2" fontId="11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7" fillId="0" borderId="2" xfId="0" applyFont="1" applyBorder="1"/>
    <xf numFmtId="0" fontId="8" fillId="0" borderId="3" xfId="0" applyFont="1" applyBorder="1"/>
    <xf numFmtId="0" fontId="16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5" xfId="0" applyFont="1" applyBorder="1" applyAlignment="1"/>
    <xf numFmtId="0" fontId="7" fillId="0" borderId="1" xfId="0" applyFont="1" applyBorder="1" applyAlignment="1"/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26986</xdr:colOff>
      <xdr:row>3</xdr:row>
      <xdr:rowOff>190500</xdr:rowOff>
    </xdr:from>
    <xdr:to>
      <xdr:col>9</xdr:col>
      <xdr:colOff>827087</xdr:colOff>
      <xdr:row>3</xdr:row>
      <xdr:rowOff>754061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0861" y="1325563"/>
          <a:ext cx="800101" cy="563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23813</xdr:colOff>
      <xdr:row>3</xdr:row>
      <xdr:rowOff>823912</xdr:rowOff>
    </xdr:from>
    <xdr:to>
      <xdr:col>10</xdr:col>
      <xdr:colOff>865188</xdr:colOff>
      <xdr:row>3</xdr:row>
      <xdr:rowOff>1211262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1063" y="1958975"/>
          <a:ext cx="841375" cy="387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188913</xdr:colOff>
      <xdr:row>3</xdr:row>
      <xdr:rowOff>1111250</xdr:rowOff>
    </xdr:from>
    <xdr:to>
      <xdr:col>11</xdr:col>
      <xdr:colOff>347663</xdr:colOff>
      <xdr:row>3</xdr:row>
      <xdr:rowOff>1295400</xdr:rowOff>
    </xdr:to>
    <xdr:pic>
      <xdr:nvPicPr>
        <xdr:cNvPr id="4" name="Picture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10601" y="2246313"/>
          <a:ext cx="158750" cy="18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26"/>
  <sheetViews>
    <sheetView tabSelected="1" zoomScaleNormal="100" workbookViewId="0">
      <selection activeCell="D5" sqref="D5"/>
    </sheetView>
  </sheetViews>
  <sheetFormatPr defaultColWidth="9.140625" defaultRowHeight="15" x14ac:dyDescent="0.25"/>
  <cols>
    <col min="1" max="1" width="3.5703125" style="6" bestFit="1" customWidth="1"/>
    <col min="2" max="2" width="38.7109375" style="6" customWidth="1"/>
    <col min="3" max="3" width="9.140625" style="6" bestFit="1" customWidth="1"/>
    <col min="4" max="4" width="9.140625" style="6" customWidth="1"/>
    <col min="5" max="5" width="7.42578125" style="6" bestFit="1" customWidth="1"/>
    <col min="6" max="8" width="11.140625" style="6" bestFit="1" customWidth="1"/>
    <col min="9" max="9" width="10.42578125" style="6" bestFit="1" customWidth="1"/>
    <col min="10" max="10" width="11.28515625" style="6" bestFit="1" customWidth="1"/>
    <col min="11" max="11" width="11.7109375" style="6" customWidth="1"/>
    <col min="12" max="12" width="15.28515625" style="6" customWidth="1"/>
    <col min="13" max="65" width="9.140625" style="8"/>
    <col min="66" max="16384" width="9.140625" style="6"/>
  </cols>
  <sheetData>
    <row r="1" spans="1:65" ht="29.45" customHeight="1" x14ac:dyDescent="0.25">
      <c r="A1" s="36" t="s">
        <v>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20"/>
    </row>
    <row r="2" spans="1:65" x14ac:dyDescent="0.25">
      <c r="A2" s="35" t="s">
        <v>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19"/>
    </row>
    <row r="3" spans="1:65" x14ac:dyDescent="0.25">
      <c r="B3" s="18"/>
      <c r="C3" s="18"/>
      <c r="D3" s="31"/>
      <c r="E3" s="18"/>
      <c r="F3" s="18"/>
      <c r="G3" s="18"/>
      <c r="H3" s="18"/>
      <c r="I3" s="18"/>
      <c r="J3" s="18"/>
      <c r="K3" s="18"/>
      <c r="L3" s="18"/>
      <c r="M3" s="18"/>
    </row>
    <row r="4" spans="1:65" s="7" customFormat="1" ht="165" customHeight="1" x14ac:dyDescent="0.25">
      <c r="A4" s="12" t="s">
        <v>5</v>
      </c>
      <c r="B4" s="26" t="s">
        <v>6</v>
      </c>
      <c r="C4" s="12" t="s">
        <v>9</v>
      </c>
      <c r="D4" s="12" t="s">
        <v>26</v>
      </c>
      <c r="E4" s="12" t="s">
        <v>10</v>
      </c>
      <c r="F4" s="13" t="s">
        <v>32</v>
      </c>
      <c r="G4" s="13" t="s">
        <v>31</v>
      </c>
      <c r="H4" s="13" t="s">
        <v>33</v>
      </c>
      <c r="I4" s="14" t="s">
        <v>0</v>
      </c>
      <c r="J4" s="15" t="s">
        <v>1</v>
      </c>
      <c r="K4" s="16" t="s">
        <v>2</v>
      </c>
      <c r="L4" s="17" t="s">
        <v>3</v>
      </c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</row>
    <row r="5" spans="1:65" ht="24.95" customHeight="1" x14ac:dyDescent="0.25">
      <c r="A5" s="24">
        <v>1</v>
      </c>
      <c r="B5" s="27" t="s">
        <v>11</v>
      </c>
      <c r="C5" s="25">
        <v>3</v>
      </c>
      <c r="D5" s="25" t="s">
        <v>27</v>
      </c>
      <c r="E5" s="25">
        <v>2</v>
      </c>
      <c r="F5" s="5">
        <f>ROUND(351,2)</f>
        <v>351</v>
      </c>
      <c r="G5" s="5">
        <f>ROUND(320.85,2)</f>
        <v>320.85000000000002</v>
      </c>
      <c r="H5" s="5">
        <f>ROUND(405,2)</f>
        <v>405</v>
      </c>
      <c r="I5" s="2">
        <f t="shared" ref="I5:I21" si="0">(ROUND(((F5+G5+H5)/3),2))</f>
        <v>358.95</v>
      </c>
      <c r="J5" s="3">
        <f t="shared" ref="J5:J21" si="1">SQRT(VAR(F5:H5))</f>
        <v>42.634581034648377</v>
      </c>
      <c r="K5" s="3">
        <f>J5/I5*100</f>
        <v>11.87758212415333</v>
      </c>
      <c r="L5" s="22">
        <f>I5*E5</f>
        <v>717.9</v>
      </c>
      <c r="M5" s="10"/>
      <c r="N5" s="11"/>
    </row>
    <row r="6" spans="1:65" ht="24.95" customHeight="1" x14ac:dyDescent="0.25">
      <c r="A6" s="24">
        <f>SUM(A5+1)</f>
        <v>2</v>
      </c>
      <c r="B6" s="27" t="s">
        <v>12</v>
      </c>
      <c r="C6" s="25">
        <v>3</v>
      </c>
      <c r="D6" s="25" t="s">
        <v>28</v>
      </c>
      <c r="E6" s="25">
        <v>60</v>
      </c>
      <c r="F6" s="5">
        <f>ROUND(605/30,2)</f>
        <v>20.170000000000002</v>
      </c>
      <c r="G6" s="5">
        <f>ROUND(564/30,2)</f>
        <v>18.8</v>
      </c>
      <c r="H6" s="5">
        <f>ROUND(582/30,2)</f>
        <v>19.399999999999999</v>
      </c>
      <c r="I6" s="2">
        <f t="shared" si="0"/>
        <v>19.46</v>
      </c>
      <c r="J6" s="3">
        <f t="shared" si="1"/>
        <v>0.6867556576638697</v>
      </c>
      <c r="K6" s="3">
        <f t="shared" ref="K6:K21" si="2">J6/I6*100</f>
        <v>3.5290629890229686</v>
      </c>
      <c r="L6" s="22">
        <f t="shared" ref="L6:L21" si="3">I6*E6</f>
        <v>1167.6000000000001</v>
      </c>
      <c r="M6" s="10"/>
      <c r="N6" s="11"/>
    </row>
    <row r="7" spans="1:65" ht="24.95" customHeight="1" x14ac:dyDescent="0.25">
      <c r="A7" s="24">
        <f t="shared" ref="A7:A21" si="4">SUM(A6+1)</f>
        <v>3</v>
      </c>
      <c r="B7" s="27" t="s">
        <v>13</v>
      </c>
      <c r="C7" s="25">
        <v>3</v>
      </c>
      <c r="D7" s="25" t="s">
        <v>28</v>
      </c>
      <c r="E7" s="25">
        <v>10</v>
      </c>
      <c r="F7" s="5">
        <f>ROUND(1140/10,2)</f>
        <v>114</v>
      </c>
      <c r="G7" s="5">
        <f>ROUND(1000/10,2)</f>
        <v>100</v>
      </c>
      <c r="H7" s="5">
        <f>ROUND(1571/10,2)</f>
        <v>157.1</v>
      </c>
      <c r="I7" s="2">
        <f t="shared" si="0"/>
        <v>123.7</v>
      </c>
      <c r="J7" s="3">
        <f t="shared" si="1"/>
        <v>29.760208332604094</v>
      </c>
      <c r="K7" s="3">
        <f t="shared" si="2"/>
        <v>24.058373753115678</v>
      </c>
      <c r="L7" s="22">
        <f t="shared" si="3"/>
        <v>1237</v>
      </c>
      <c r="M7" s="10"/>
      <c r="N7" s="11"/>
      <c r="BM7" s="6"/>
    </row>
    <row r="8" spans="1:65" ht="24.95" customHeight="1" x14ac:dyDescent="0.25">
      <c r="A8" s="24">
        <f t="shared" si="4"/>
        <v>4</v>
      </c>
      <c r="B8" s="27" t="s">
        <v>14</v>
      </c>
      <c r="C8" s="25">
        <v>3</v>
      </c>
      <c r="D8" s="25" t="s">
        <v>28</v>
      </c>
      <c r="E8" s="25">
        <v>90</v>
      </c>
      <c r="F8" s="5">
        <f>ROUND(565/30,2)</f>
        <v>18.829999999999998</v>
      </c>
      <c r="G8" s="5">
        <f>ROUND(556/30,2)</f>
        <v>18.53</v>
      </c>
      <c r="H8" s="5">
        <f>ROUND(561/30,2)</f>
        <v>18.7</v>
      </c>
      <c r="I8" s="2">
        <f t="shared" si="0"/>
        <v>18.690000000000001</v>
      </c>
      <c r="J8" s="3">
        <f t="shared" si="1"/>
        <v>0.15044378795195534</v>
      </c>
      <c r="K8" s="3">
        <f t="shared" si="2"/>
        <v>0.80494268567124305</v>
      </c>
      <c r="L8" s="22">
        <f t="shared" si="3"/>
        <v>1682.1000000000001</v>
      </c>
      <c r="M8" s="10"/>
      <c r="N8" s="11"/>
      <c r="BM8" s="6"/>
    </row>
    <row r="9" spans="1:65" ht="24.95" customHeight="1" x14ac:dyDescent="0.25">
      <c r="A9" s="24">
        <f t="shared" si="4"/>
        <v>5</v>
      </c>
      <c r="B9" s="27" t="s">
        <v>15</v>
      </c>
      <c r="C9" s="25">
        <v>3</v>
      </c>
      <c r="D9" s="25" t="s">
        <v>28</v>
      </c>
      <c r="E9" s="25">
        <v>60</v>
      </c>
      <c r="F9" s="5">
        <f>ROUND(971/20,2)</f>
        <v>48.55</v>
      </c>
      <c r="G9" s="5">
        <f>ROUND(993.24/20,2)</f>
        <v>49.66</v>
      </c>
      <c r="H9" s="5">
        <f>ROUND(1069/20,2)</f>
        <v>53.45</v>
      </c>
      <c r="I9" s="2">
        <f t="shared" si="0"/>
        <v>50.55</v>
      </c>
      <c r="J9" s="3">
        <f t="shared" si="1"/>
        <v>2.5692476200890701</v>
      </c>
      <c r="K9" s="3">
        <f t="shared" si="2"/>
        <v>5.0825867855372309</v>
      </c>
      <c r="L9" s="22">
        <f t="shared" si="3"/>
        <v>3033</v>
      </c>
      <c r="M9" s="10"/>
      <c r="N9" s="11"/>
      <c r="BM9" s="6"/>
    </row>
    <row r="10" spans="1:65" ht="24.95" customHeight="1" x14ac:dyDescent="0.25">
      <c r="A10" s="24">
        <f t="shared" si="4"/>
        <v>6</v>
      </c>
      <c r="B10" s="27" t="s">
        <v>16</v>
      </c>
      <c r="C10" s="25">
        <v>3</v>
      </c>
      <c r="D10" s="25" t="s">
        <v>27</v>
      </c>
      <c r="E10" s="25">
        <v>4</v>
      </c>
      <c r="F10" s="5">
        <v>79</v>
      </c>
      <c r="G10" s="21">
        <v>65.099999999999994</v>
      </c>
      <c r="H10" s="4">
        <v>71.61</v>
      </c>
      <c r="I10" s="2">
        <f t="shared" si="0"/>
        <v>71.900000000000006</v>
      </c>
      <c r="J10" s="3">
        <f t="shared" si="1"/>
        <v>6.9546411362005855</v>
      </c>
      <c r="K10" s="3">
        <f t="shared" si="2"/>
        <v>9.6726580475668769</v>
      </c>
      <c r="L10" s="22">
        <f t="shared" si="3"/>
        <v>287.60000000000002</v>
      </c>
      <c r="M10" s="10"/>
      <c r="N10" s="11"/>
      <c r="BM10" s="6"/>
    </row>
    <row r="11" spans="1:65" ht="24.95" customHeight="1" x14ac:dyDescent="0.25">
      <c r="A11" s="24">
        <f t="shared" si="4"/>
        <v>7</v>
      </c>
      <c r="B11" s="27" t="s">
        <v>25</v>
      </c>
      <c r="C11" s="25">
        <v>3</v>
      </c>
      <c r="D11" s="25" t="s">
        <v>28</v>
      </c>
      <c r="E11" s="25">
        <v>28</v>
      </c>
      <c r="F11" s="5">
        <f>ROUND(2277/14,2)</f>
        <v>162.63999999999999</v>
      </c>
      <c r="G11" s="5">
        <f>ROUND(2277.02/14,2)</f>
        <v>162.63999999999999</v>
      </c>
      <c r="H11" s="5">
        <f>ROUND(2104/14,2)</f>
        <v>150.29</v>
      </c>
      <c r="I11" s="2">
        <f t="shared" si="0"/>
        <v>158.52000000000001</v>
      </c>
      <c r="J11" s="3">
        <f t="shared" si="1"/>
        <v>7.1302758244918758</v>
      </c>
      <c r="K11" s="3">
        <f t="shared" si="2"/>
        <v>4.4980291600377713</v>
      </c>
      <c r="L11" s="22">
        <f t="shared" si="3"/>
        <v>4438.5600000000004</v>
      </c>
      <c r="M11" s="10"/>
      <c r="N11" s="11"/>
      <c r="BM11" s="6"/>
    </row>
    <row r="12" spans="1:65" ht="24.95" customHeight="1" x14ac:dyDescent="0.25">
      <c r="A12" s="24">
        <f t="shared" si="4"/>
        <v>8</v>
      </c>
      <c r="B12" s="27" t="s">
        <v>30</v>
      </c>
      <c r="C12" s="25">
        <v>3</v>
      </c>
      <c r="D12" s="25" t="s">
        <v>27</v>
      </c>
      <c r="E12" s="25">
        <v>2</v>
      </c>
      <c r="F12" s="5">
        <v>426</v>
      </c>
      <c r="G12" s="21">
        <v>501.4</v>
      </c>
      <c r="H12" s="4">
        <v>370</v>
      </c>
      <c r="I12" s="2">
        <f t="shared" si="0"/>
        <v>432.47</v>
      </c>
      <c r="J12" s="3">
        <f t="shared" si="1"/>
        <v>65.938253945136239</v>
      </c>
      <c r="K12" s="3">
        <f t="shared" si="2"/>
        <v>15.246896650666228</v>
      </c>
      <c r="L12" s="22">
        <f t="shared" si="3"/>
        <v>864.94</v>
      </c>
      <c r="M12" s="10"/>
      <c r="N12" s="11"/>
      <c r="BM12" s="6"/>
    </row>
    <row r="13" spans="1:65" ht="24.95" customHeight="1" x14ac:dyDescent="0.25">
      <c r="A13" s="24">
        <f t="shared" si="4"/>
        <v>9</v>
      </c>
      <c r="B13" s="27" t="s">
        <v>17</v>
      </c>
      <c r="C13" s="25">
        <v>3</v>
      </c>
      <c r="D13" s="25" t="s">
        <v>27</v>
      </c>
      <c r="E13" s="25">
        <v>1</v>
      </c>
      <c r="F13" s="5">
        <v>445</v>
      </c>
      <c r="G13" s="21">
        <v>321</v>
      </c>
      <c r="H13" s="4">
        <v>381</v>
      </c>
      <c r="I13" s="2">
        <f t="shared" si="0"/>
        <v>382.33</v>
      </c>
      <c r="J13" s="3">
        <f t="shared" si="1"/>
        <v>62.010751755911997</v>
      </c>
      <c r="K13" s="3">
        <f t="shared" si="2"/>
        <v>16.219169763270472</v>
      </c>
      <c r="L13" s="22">
        <f t="shared" si="3"/>
        <v>382.33</v>
      </c>
      <c r="M13" s="10"/>
      <c r="N13" s="11"/>
      <c r="BM13" s="6"/>
    </row>
    <row r="14" spans="1:65" ht="24.95" customHeight="1" x14ac:dyDescent="0.25">
      <c r="A14" s="24">
        <f t="shared" si="4"/>
        <v>10</v>
      </c>
      <c r="B14" s="27" t="s">
        <v>18</v>
      </c>
      <c r="C14" s="25">
        <v>3</v>
      </c>
      <c r="D14" s="25" t="s">
        <v>27</v>
      </c>
      <c r="E14" s="25">
        <v>2</v>
      </c>
      <c r="F14" s="5">
        <v>82</v>
      </c>
      <c r="G14" s="21">
        <v>125</v>
      </c>
      <c r="H14" s="4">
        <v>111.33</v>
      </c>
      <c r="I14" s="2">
        <f t="shared" si="0"/>
        <v>106.11</v>
      </c>
      <c r="J14" s="3">
        <f t="shared" si="1"/>
        <v>21.970122894512929</v>
      </c>
      <c r="K14" s="3">
        <f t="shared" si="2"/>
        <v>20.705044665453709</v>
      </c>
      <c r="L14" s="22">
        <f t="shared" si="3"/>
        <v>212.22</v>
      </c>
      <c r="M14" s="10"/>
      <c r="N14" s="11"/>
      <c r="BM14" s="6"/>
    </row>
    <row r="15" spans="1:65" ht="24.95" customHeight="1" x14ac:dyDescent="0.25">
      <c r="A15" s="24">
        <f t="shared" si="4"/>
        <v>11</v>
      </c>
      <c r="B15" s="27" t="s">
        <v>19</v>
      </c>
      <c r="C15" s="25">
        <v>3</v>
      </c>
      <c r="D15" s="25" t="s">
        <v>27</v>
      </c>
      <c r="E15" s="25">
        <v>2</v>
      </c>
      <c r="F15" s="5">
        <v>260</v>
      </c>
      <c r="G15" s="21">
        <v>283</v>
      </c>
      <c r="H15" s="4">
        <v>253.75</v>
      </c>
      <c r="I15" s="2">
        <f t="shared" si="0"/>
        <v>265.58</v>
      </c>
      <c r="J15" s="3">
        <f t="shared" si="1"/>
        <v>15.403598064521592</v>
      </c>
      <c r="K15" s="3">
        <f t="shared" si="2"/>
        <v>5.7999842098507397</v>
      </c>
      <c r="L15" s="22">
        <f t="shared" si="3"/>
        <v>531.16</v>
      </c>
      <c r="M15" s="10"/>
      <c r="N15" s="11"/>
      <c r="BM15" s="6"/>
    </row>
    <row r="16" spans="1:65" ht="24.95" customHeight="1" x14ac:dyDescent="0.25">
      <c r="A16" s="24">
        <f t="shared" si="4"/>
        <v>12</v>
      </c>
      <c r="B16" s="27" t="s">
        <v>20</v>
      </c>
      <c r="C16" s="25">
        <v>3</v>
      </c>
      <c r="D16" s="25" t="s">
        <v>27</v>
      </c>
      <c r="E16" s="25">
        <v>1</v>
      </c>
      <c r="F16" s="5">
        <v>119</v>
      </c>
      <c r="G16" s="21">
        <v>192</v>
      </c>
      <c r="H16" s="4">
        <v>163</v>
      </c>
      <c r="I16" s="2">
        <f t="shared" si="0"/>
        <v>158</v>
      </c>
      <c r="J16" s="3">
        <f t="shared" si="1"/>
        <v>36.755951898978211</v>
      </c>
      <c r="K16" s="3">
        <f t="shared" si="2"/>
        <v>23.263260695555829</v>
      </c>
      <c r="L16" s="22">
        <f t="shared" si="3"/>
        <v>158</v>
      </c>
      <c r="M16" s="10"/>
      <c r="N16" s="11"/>
      <c r="BM16" s="6"/>
    </row>
    <row r="17" spans="1:65" ht="24.95" customHeight="1" x14ac:dyDescent="0.25">
      <c r="A17" s="24">
        <f t="shared" si="4"/>
        <v>13</v>
      </c>
      <c r="B17" s="27" t="s">
        <v>21</v>
      </c>
      <c r="C17" s="25">
        <v>3</v>
      </c>
      <c r="D17" s="25" t="s">
        <v>27</v>
      </c>
      <c r="E17" s="25">
        <v>50</v>
      </c>
      <c r="F17" s="5">
        <v>1.01</v>
      </c>
      <c r="G17" s="21">
        <v>1.55</v>
      </c>
      <c r="H17" s="4">
        <v>1.48</v>
      </c>
      <c r="I17" s="2">
        <f t="shared" si="0"/>
        <v>1.35</v>
      </c>
      <c r="J17" s="3">
        <f t="shared" si="1"/>
        <v>0.29365512652315973</v>
      </c>
      <c r="K17" s="3">
        <f t="shared" si="2"/>
        <v>21.752231594308128</v>
      </c>
      <c r="L17" s="22">
        <f t="shared" si="3"/>
        <v>67.5</v>
      </c>
      <c r="M17" s="10"/>
      <c r="N17" s="11"/>
      <c r="BM17" s="6"/>
    </row>
    <row r="18" spans="1:65" ht="24.95" customHeight="1" x14ac:dyDescent="0.25">
      <c r="A18" s="24">
        <f t="shared" si="4"/>
        <v>14</v>
      </c>
      <c r="B18" s="27" t="s">
        <v>22</v>
      </c>
      <c r="C18" s="25">
        <v>3</v>
      </c>
      <c r="D18" s="25" t="s">
        <v>27</v>
      </c>
      <c r="E18" s="25">
        <v>1</v>
      </c>
      <c r="F18" s="5">
        <v>97</v>
      </c>
      <c r="G18" s="21">
        <v>125.1</v>
      </c>
      <c r="H18" s="4">
        <v>137</v>
      </c>
      <c r="I18" s="2">
        <f t="shared" si="0"/>
        <v>119.7</v>
      </c>
      <c r="J18" s="3">
        <f t="shared" si="1"/>
        <v>20.539474189959083</v>
      </c>
      <c r="K18" s="3">
        <f t="shared" si="2"/>
        <v>17.15912630740107</v>
      </c>
      <c r="L18" s="22">
        <f t="shared" si="3"/>
        <v>119.7</v>
      </c>
      <c r="M18" s="10"/>
      <c r="N18" s="11"/>
      <c r="BM18" s="6"/>
    </row>
    <row r="19" spans="1:65" ht="24.95" customHeight="1" x14ac:dyDescent="0.25">
      <c r="A19" s="24">
        <f t="shared" si="4"/>
        <v>15</v>
      </c>
      <c r="B19" s="27" t="s">
        <v>23</v>
      </c>
      <c r="C19" s="25">
        <v>3</v>
      </c>
      <c r="D19" s="25" t="s">
        <v>28</v>
      </c>
      <c r="E19" s="25">
        <v>0.9</v>
      </c>
      <c r="F19" s="5">
        <f>ROUND(659/0.9,2)</f>
        <v>732.22</v>
      </c>
      <c r="G19" s="5">
        <f>ROUND(700/0.9,2)</f>
        <v>777.78</v>
      </c>
      <c r="H19" s="5">
        <f>ROUND(944/0.9,2)</f>
        <v>1048.8900000000001</v>
      </c>
      <c r="I19" s="2">
        <f t="shared" si="0"/>
        <v>852.96</v>
      </c>
      <c r="J19" s="3">
        <f t="shared" si="1"/>
        <v>171.19980266733066</v>
      </c>
      <c r="K19" s="3">
        <f t="shared" si="2"/>
        <v>20.071258050474896</v>
      </c>
      <c r="L19" s="22">
        <f t="shared" si="3"/>
        <v>767.6640000000001</v>
      </c>
      <c r="M19" s="10"/>
      <c r="N19" s="11"/>
      <c r="BM19" s="6"/>
    </row>
    <row r="20" spans="1:65" ht="24.95" customHeight="1" x14ac:dyDescent="0.25">
      <c r="A20" s="24">
        <f t="shared" si="4"/>
        <v>16</v>
      </c>
      <c r="B20" s="27" t="s">
        <v>34</v>
      </c>
      <c r="C20" s="25">
        <v>3</v>
      </c>
      <c r="D20" s="25" t="s">
        <v>27</v>
      </c>
      <c r="E20" s="25">
        <v>1</v>
      </c>
      <c r="F20" s="5">
        <v>78</v>
      </c>
      <c r="G20" s="21">
        <v>87</v>
      </c>
      <c r="H20" s="4">
        <v>75</v>
      </c>
      <c r="I20" s="2">
        <f t="shared" si="0"/>
        <v>80</v>
      </c>
      <c r="J20" s="3">
        <f t="shared" si="1"/>
        <v>6.2449979983983983</v>
      </c>
      <c r="K20" s="3">
        <f t="shared" si="2"/>
        <v>7.8062474979979974</v>
      </c>
      <c r="L20" s="22">
        <f t="shared" si="3"/>
        <v>80</v>
      </c>
      <c r="M20" s="10"/>
      <c r="N20" s="11"/>
      <c r="BM20" s="6"/>
    </row>
    <row r="21" spans="1:65" ht="24.95" customHeight="1" x14ac:dyDescent="0.25">
      <c r="A21" s="24">
        <f t="shared" si="4"/>
        <v>17</v>
      </c>
      <c r="B21" s="27" t="s">
        <v>24</v>
      </c>
      <c r="C21" s="25">
        <v>3</v>
      </c>
      <c r="D21" s="25" t="s">
        <v>29</v>
      </c>
      <c r="E21" s="25">
        <v>1</v>
      </c>
      <c r="F21" s="5">
        <v>133.63999999999999</v>
      </c>
      <c r="G21" s="21">
        <v>135</v>
      </c>
      <c r="H21" s="4">
        <v>200</v>
      </c>
      <c r="I21" s="2">
        <f t="shared" si="0"/>
        <v>156.21</v>
      </c>
      <c r="J21" s="3">
        <f t="shared" si="1"/>
        <v>37.926462177921849</v>
      </c>
      <c r="K21" s="3">
        <f t="shared" si="2"/>
        <v>24.279151256591668</v>
      </c>
      <c r="L21" s="22">
        <f t="shared" si="3"/>
        <v>156.21</v>
      </c>
      <c r="M21" s="10"/>
      <c r="N21" s="11"/>
      <c r="BM21" s="6"/>
    </row>
    <row r="22" spans="1:65" ht="29.25" customHeight="1" x14ac:dyDescent="0.25">
      <c r="A22" s="28"/>
      <c r="B22" s="30" t="s">
        <v>4</v>
      </c>
      <c r="C22" s="29"/>
      <c r="D22" s="29"/>
      <c r="E22" s="1"/>
      <c r="F22" s="1"/>
      <c r="G22" s="1"/>
      <c r="H22" s="1"/>
      <c r="I22" s="1"/>
      <c r="J22" s="3"/>
      <c r="K22" s="3"/>
      <c r="L22" s="23">
        <f>SUM(L5:L21)</f>
        <v>15903.484000000002</v>
      </c>
      <c r="M22" s="11"/>
      <c r="N22" s="11"/>
    </row>
    <row r="23" spans="1:65" ht="29.25" customHeight="1" x14ac:dyDescent="0.25">
      <c r="A23" s="32" t="s">
        <v>35</v>
      </c>
      <c r="B23" s="33"/>
      <c r="C23" s="34"/>
      <c r="D23" s="34"/>
      <c r="E23" s="34"/>
      <c r="F23" s="34"/>
      <c r="G23" s="34"/>
      <c r="H23" s="34"/>
      <c r="I23" s="34"/>
      <c r="J23" s="34"/>
      <c r="K23" s="34"/>
      <c r="L23" s="34"/>
    </row>
    <row r="24" spans="1:65" ht="29.25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</row>
    <row r="25" spans="1:65" ht="29.25" customHeight="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</row>
    <row r="26" spans="1:65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</row>
  </sheetData>
  <mergeCells count="3">
    <mergeCell ref="A23:L26"/>
    <mergeCell ref="A2:L2"/>
    <mergeCell ref="A1:L1"/>
  </mergeCells>
  <conditionalFormatting sqref="K5:K21">
    <cfRule type="cellIs" dxfId="0" priority="2" operator="greaterThan">
      <formula>33</formula>
    </cfRule>
  </conditionalFormatting>
  <pageMargins left="0.23622047244094491" right="0" top="0.74803149606299213" bottom="0.74803149606299213" header="0.31496062992125984" footer="0.31496062992125984"/>
  <pageSetup paperSize="9" fitToWidth="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</dc:creator>
  <cp:lastModifiedBy>1</cp:lastModifiedBy>
  <cp:lastPrinted>2022-12-21T06:49:11Z</cp:lastPrinted>
  <dcterms:created xsi:type="dcterms:W3CDTF">2014-03-03T06:36:46Z</dcterms:created>
  <dcterms:modified xsi:type="dcterms:W3CDTF">2026-09-11T07:02:55Z</dcterms:modified>
</cp:coreProperties>
</file>