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880" windowHeight="8055"/>
  </bookViews>
  <sheets>
    <sheet name="Итоговый расчет" sheetId="1" r:id="rId1"/>
    <sheet name="Анализ рынка" sheetId="2" r:id="rId2"/>
    <sheet name="Расчет средневзвешенной цены" sheetId="3" r:id="rId3"/>
    <sheet name="Расчет референтной цены" sheetId="4" r:id="rId4"/>
  </sheets>
  <calcPr calcId="144525"/>
</workbook>
</file>

<file path=xl/calcChain.xml><?xml version="1.0" encoding="utf-8"?>
<calcChain xmlns="http://schemas.openxmlformats.org/spreadsheetml/2006/main">
  <c r="F12" i="1" l="1"/>
  <c r="O6" i="1"/>
  <c r="M6" i="1"/>
  <c r="O12" i="1" l="1"/>
  <c r="O9" i="1" l="1"/>
  <c r="L14" i="2"/>
  <c r="L17" i="2"/>
  <c r="H17" i="2"/>
  <c r="N17" i="2" s="1"/>
  <c r="L11" i="2" l="1"/>
  <c r="H13" i="2" l="1"/>
  <c r="H14" i="2"/>
  <c r="N14" i="2" s="1"/>
  <c r="O14" i="2" s="1"/>
  <c r="H15" i="2"/>
  <c r="H16" i="2"/>
  <c r="H18" i="2"/>
  <c r="H19" i="2"/>
  <c r="H20" i="2"/>
  <c r="H21" i="2"/>
  <c r="H22" i="2"/>
  <c r="H12" i="2"/>
  <c r="H11" i="2"/>
  <c r="O11" i="2" l="1"/>
  <c r="N11" i="2"/>
  <c r="O17" i="1"/>
  <c r="I11" i="1" l="1"/>
  <c r="I10" i="1"/>
  <c r="H6" i="1"/>
  <c r="G13" i="3"/>
  <c r="F13" i="3"/>
  <c r="G12" i="3"/>
  <c r="F12" i="3"/>
  <c r="G11" i="3"/>
  <c r="F11" i="3"/>
  <c r="G6" i="1" l="1"/>
  <c r="J6" i="1" s="1"/>
  <c r="P6" i="1" s="1"/>
  <c r="G9" i="1"/>
  <c r="J9" i="1" s="1"/>
  <c r="M9" i="1" s="1"/>
  <c r="L22" i="2"/>
  <c r="L21" i="2"/>
  <c r="N21" i="2" s="1"/>
  <c r="O21" i="2" s="1"/>
  <c r="G16" i="1" s="1"/>
  <c r="J16" i="1" s="1"/>
  <c r="M16" i="1" s="1"/>
  <c r="L20" i="2"/>
  <c r="L19" i="2"/>
  <c r="L18" i="2"/>
  <c r="O17" i="2"/>
  <c r="G12" i="1" s="1"/>
  <c r="J12" i="1" s="1"/>
  <c r="M12" i="1" s="1"/>
  <c r="P12" i="1" s="1"/>
  <c r="L16" i="2"/>
  <c r="N16" i="2" s="1"/>
  <c r="O16" i="2" s="1"/>
  <c r="G11" i="1" s="1"/>
  <c r="J11" i="1" s="1"/>
  <c r="M11" i="1" s="1"/>
  <c r="L15" i="2"/>
  <c r="N15" i="2" s="1"/>
  <c r="O15" i="2" s="1"/>
  <c r="G10" i="1" s="1"/>
  <c r="J10" i="1" s="1"/>
  <c r="M10" i="1" s="1"/>
  <c r="L13" i="2"/>
  <c r="N13" i="2" s="1"/>
  <c r="O13" i="2" s="1"/>
  <c r="G8" i="1" s="1"/>
  <c r="J8" i="1" s="1"/>
  <c r="M8" i="1" s="1"/>
  <c r="L12" i="2"/>
  <c r="N12" i="2" s="1"/>
  <c r="O12" i="2" s="1"/>
  <c r="G7" i="1" s="1"/>
  <c r="J7" i="1" s="1"/>
  <c r="M7" i="1" s="1"/>
  <c r="O16" i="1"/>
  <c r="O15" i="1"/>
  <c r="O14" i="1"/>
  <c r="O13" i="1"/>
  <c r="O11" i="1"/>
  <c r="O10" i="1"/>
  <c r="O8" i="1"/>
  <c r="O7" i="1"/>
  <c r="N18" i="2" l="1"/>
  <c r="O18" i="2" s="1"/>
  <c r="G13" i="1" s="1"/>
  <c r="J13" i="1" s="1"/>
  <c r="M13" i="1" s="1"/>
  <c r="P13" i="1" s="1"/>
  <c r="N22" i="2"/>
  <c r="O22" i="2" s="1"/>
  <c r="G17" i="1" s="1"/>
  <c r="J17" i="1" s="1"/>
  <c r="M17" i="1" s="1"/>
  <c r="P17" i="1" s="1"/>
  <c r="N19" i="2"/>
  <c r="O19" i="2" s="1"/>
  <c r="G14" i="1" s="1"/>
  <c r="J14" i="1" s="1"/>
  <c r="M14" i="1" s="1"/>
  <c r="P14" i="1" s="1"/>
  <c r="N20" i="2"/>
  <c r="O20" i="2" s="1"/>
  <c r="G15" i="1" s="1"/>
  <c r="J15" i="1" s="1"/>
  <c r="M15" i="1" s="1"/>
  <c r="P15" i="1" s="1"/>
  <c r="P11" i="1"/>
  <c r="P10" i="1"/>
  <c r="P7" i="1"/>
  <c r="P9" i="1"/>
  <c r="P8" i="1"/>
  <c r="P16" i="1"/>
  <c r="P18" i="1" l="1"/>
</calcChain>
</file>

<file path=xl/sharedStrings.xml><?xml version="1.0" encoding="utf-8"?>
<sst xmlns="http://schemas.openxmlformats.org/spreadsheetml/2006/main" count="155" uniqueCount="99">
  <si>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</si>
  <si>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</si>
  <si>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>Наименование товара (МНН/Торговое наименование)/Лек. форма/ Дозировка</t>
  </si>
  <si>
    <t>ЕСКЛП</t>
  </si>
  <si>
    <t>Ед.изм.</t>
  </si>
  <si>
    <t>Количество в упаковке</t>
  </si>
  <si>
    <t>Цена,  рассчитанная методом анализа рынка,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</si>
  <si>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</si>
  <si>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</si>
  <si>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</si>
  <si>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</si>
  <si>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</si>
  <si>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</si>
  <si>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Потребность лекарственного преппарата пепрвичных упаковок</t>
  </si>
  <si>
    <t>Объём поставки лек. форм</t>
  </si>
  <si>
    <t>НМЦК (руб.)</t>
  </si>
  <si>
    <t>21.20.10.262-000010-1-00013-0000000000000</t>
  </si>
  <si>
    <t>мл</t>
  </si>
  <si>
    <t>гр</t>
  </si>
  <si>
    <t>шт</t>
  </si>
  <si>
    <t>21.20.10.111-000026-1-00038-0000000000000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</si>
  <si>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</si>
  <si>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</si>
  <si>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</si>
  <si>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ОБОСНОВАНИЕ НАЧАЛЬНОЙ (МАКСИМАЛЬНОЙ) ЦЕНЫ КОНТРАКТА, НАЧАЛЬНОЙ ЦЕНЫ ЕДИНИЦЫ ТОВАРА</t>
  </si>
  <si>
    <r>
      <t xml:space="preserve">Метод определения: </t>
    </r>
    <r>
      <rPr>
        <sz val="11"/>
        <color rgb="FF000000"/>
        <rFont val="Times New Roman"/>
        <family val="1"/>
        <charset val="204"/>
      </rPr>
      <t>Метод, установленный приказом Минздрава РФ от 19.12.2019г. № 1064н</t>
    </r>
    <r>
      <rPr>
        <sz val="11"/>
        <color theme="1"/>
        <rFont val="Times New Roman"/>
        <family val="1"/>
        <charset val="204"/>
      </rPr>
      <t>.</t>
    </r>
  </si>
  <si>
    <r>
      <t>Обоснование невозможности применения методов, указанных в части 1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нужд»:</t>
    </r>
    <r>
      <rPr>
        <sz val="11"/>
        <color theme="1"/>
        <rFont val="Times New Roman"/>
        <family val="1"/>
        <charset val="204"/>
      </rPr>
      <t xml:space="preserve"> Приказ Минздрава России от 19 декабря 2019 г. N 1064н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применения» (далее - Порядок)».</t>
    </r>
  </si>
  <si>
    <t>Обоснование (расчет):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</si>
  <si>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Установление цены единицы лекарственного препарата в соответствии с пп. а) п. 2 Порядка.</t>
    </r>
  </si>
  <si>
    <r>
      <t>1.1.</t>
    </r>
    <r>
      <rPr>
        <sz val="7"/>
        <color theme="1"/>
        <rFont val="Times New Roman"/>
        <family val="1"/>
        <charset val="204"/>
      </rPr>
      <t xml:space="preserve">             </t>
    </r>
    <r>
      <rPr>
        <sz val="11"/>
        <color theme="1"/>
        <rFont val="Times New Roman"/>
        <family val="1"/>
        <charset val="204"/>
      </rPr>
      <t>Определение цены единицы посредством применения метода сопоставимых рыночных цен (анализ рынка):</t>
    </r>
  </si>
  <si>
    <t>Наименование товара (МНН/Торговое наименование)</t>
  </si>
  <si>
    <t>Лекарственная форма, дозировка, упаковка</t>
  </si>
  <si>
    <t>Дозировка</t>
  </si>
  <si>
    <t>Ставка НДС</t>
  </si>
  <si>
    <t xml:space="preserve">Минимальная цена за упаковку без учета НДС и оптовой надбавки, руб. </t>
  </si>
  <si>
    <t>Расчетная цена за единицу измерения без учета НДС и оптовой надбавки, руб.</t>
  </si>
  <si>
    <t>Лидокаин+Феназон/Максиколд Ототита</t>
  </si>
  <si>
    <t>капли ушные,  1%+4%, 17.1 г - флакон-капельницы - пачки картонные</t>
  </si>
  <si>
    <t>Сульфацетамид/Сульфацил натрия</t>
  </si>
  <si>
    <t>капли глазные,  20%, 20 мл - флакон-капельницы - пачки картонные</t>
  </si>
  <si>
    <t>[Календулы лекарственной цветков+Ромашки аптечной цветков+Тысячелистника обыкновенного травы] экстракт/Ротокан</t>
  </si>
  <si>
    <t>экстракт для приема внутрь и местного применения, [жидкий], 50 мл - флаконы</t>
  </si>
  <si>
    <t>С учетом принципа эффективности использования бюджетных средств, определенного статьей 34 Бюджетного кодекса Российской Федерации, в качестве цены единицы товара была принята минимальная цена.</t>
  </si>
  <si>
    <r>
      <rPr>
        <sz val="7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Установление цены единицы лекарственного препарата в соответствии с пп. б) п. 2 Порядка.</t>
    </r>
  </si>
  <si>
    <t>Расчет средневзвешенной цены осуществляется по формуле:</t>
  </si>
  <si>
    <t>,</t>
  </si>
  <si>
    <t>где:</t>
  </si>
  <si>
    <r>
      <t>Ц</t>
    </r>
    <r>
      <rPr>
        <vertAlign val="sub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 xml:space="preserve"> - цена единицы лекарственного препарата без учета НДС и оптовой надбавки;</t>
    </r>
  </si>
  <si>
    <t>k - количество закупленных лекарственных препаратов в эквивалентных лекарственных формах и дозировках.</t>
  </si>
  <si>
    <r>
      <t>Ц</t>
    </r>
    <r>
      <rPr>
        <vertAlign val="subscript"/>
        <sz val="11"/>
        <color theme="1"/>
        <rFont val="Times New Roman"/>
        <family val="1"/>
        <charset val="204"/>
      </rPr>
      <t>взв</t>
    </r>
    <r>
      <rPr>
        <sz val="11"/>
        <color theme="1"/>
        <rFont val="Times New Roman"/>
        <family val="1"/>
        <charset val="204"/>
      </rPr>
      <t xml:space="preserve"> по исполненным контрактам рассчитать не представляется возможным, ввиду отсутствия заключенных заказчиком и исполненных поставщиком контрактов на лекарственный препарат с учетом эквивалентных лекарственных форм и дозировок за 12 месяцев, предшествующих месяцу расчета.</t>
    </r>
  </si>
  <si>
    <t>Позиция 2</t>
  </si>
  <si>
    <t>Позиция 3</t>
  </si>
  <si>
    <t>Позиция 4</t>
  </si>
  <si>
    <t>Позиция 7</t>
  </si>
  <si>
    <t>Позиция 8</t>
  </si>
  <si>
    <t>Позиция 9</t>
  </si>
  <si>
    <t>Позиция 10</t>
  </si>
  <si>
    <t>Позиция 11</t>
  </si>
  <si>
    <r>
      <rPr>
        <sz val="7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Использование цены единицы лекарственного препарата в соответствии с пп. в) п. 2 Порядка</t>
    </r>
  </si>
  <si>
    <t>На момент расчета начальной цены единицы референтная цена отсутствует в ЕИС.</t>
  </si>
  <si>
    <t>Камфора+Хлоробутанол+Эвкалипта прутовидного листьев масло+[Левоментол]/Каметон</t>
  </si>
  <si>
    <t>Мяты перечной листьев масло+Фенобарбитал+Этилбромизовалерианат/Корвалол</t>
  </si>
  <si>
    <t>Нимесулид/Нимесулид</t>
  </si>
  <si>
    <t>капли для приема внутрь, 25 мл - флакон-капельницы - пачки картонны</t>
  </si>
  <si>
    <t xml:space="preserve">аэрозоль для местного применения, 45 г - баллоны с распылителем - пачки картонные </t>
  </si>
  <si>
    <t>Бриллиантовый зеленый/Бриллиантовый зеленый</t>
  </si>
  <si>
    <t>раствор для наружного применения, [спиртовой], 1%, 25 мл - флаконы - коробки картонные</t>
  </si>
  <si>
    <t>Вазелин/Вазелин</t>
  </si>
  <si>
    <t xml:space="preserve">мазь для наружного применения, 30 г - тубы - пачки картонные </t>
  </si>
  <si>
    <t>спрей назальный/15 мл - флаконы - пачки картонные</t>
  </si>
  <si>
    <t>Активированный уголь+Желчь+Крапивы двудомной листья+Чеснока посевного луковицы/Аллохол</t>
  </si>
  <si>
    <t>таблетки, покрытые оболочкой, 50 шт. - банки - пачки картонные (50 шт.)</t>
  </si>
  <si>
    <t>Папаверина гидрохлорид/Папаверин</t>
  </si>
  <si>
    <t>раствор для инъекций, 20 мг/мл, 2 мл - ампулы (10 шт.) - пачки картонные</t>
  </si>
  <si>
    <t>Дексаметазон+Неомицин+Полимиксин B+Фенилэфрин/Полидекса с фенилэфрином/</t>
  </si>
  <si>
    <r>
      <t>Цена за ед.изм</t>
    </r>
    <r>
      <rPr>
        <b/>
        <sz val="10"/>
        <color theme="1"/>
        <rFont val="Times New Roman"/>
        <family val="1"/>
        <charset val="204"/>
      </rPr>
      <t xml:space="preserve"> без учета НДС и оптовой надбавки</t>
    </r>
    <r>
      <rPr>
        <sz val="10"/>
        <color theme="1"/>
        <rFont val="Times New Roman"/>
        <family val="1"/>
        <charset val="204"/>
      </rPr>
      <t xml:space="preserve">, руб. </t>
    </r>
  </si>
  <si>
    <t>Кол-во закупленных товаров в эквив-ных лек. формах и дозировках</t>
  </si>
  <si>
    <t>Контракт № 26100056 от 17.03.2026 г</t>
  </si>
  <si>
    <t>Позиция 12</t>
  </si>
  <si>
    <t>Папаверин/Папаверин</t>
  </si>
  <si>
    <t>Цена за упаковку с НДС, руб., КП №746 от 09.07.2026 г</t>
  </si>
  <si>
    <t>Цена за упаковку без учета НДС и оптовой надбавки, руб., КП №746 от 09.07.2026 г</t>
  </si>
  <si>
    <t>Цена за упаковку с НДС, руб., КП от 28.07.2026 г</t>
  </si>
  <si>
    <t>Цена за упаковку без учета НДС и оптовой надбавки, руб., КП от 28.07.2026 г</t>
  </si>
  <si>
    <t>Алгелдрат+Магния гидроксид/Маалокс/Мальвацид</t>
  </si>
  <si>
    <t>21.20.10.112-000007-1-00132-0000000000000</t>
  </si>
  <si>
    <t xml:space="preserve">гель для наружного применения,  1%, 20 г - банки - пачки картонные </t>
  </si>
  <si>
    <t>15 мл - саше (30 шт.) - пачки картонные</t>
  </si>
  <si>
    <t>21.20.10.221-000015-1-00078-0000000000000</t>
  </si>
  <si>
    <t>21.20.10.158-000004-1-00076-0000000000000</t>
  </si>
  <si>
    <t>21.20.10.169-000052-1-00047-0000000000000</t>
  </si>
  <si>
    <t>21.20.10.251-000775-1-00010-0000000000000</t>
  </si>
  <si>
    <t>21.20.10.114-000015-1-00071-0000000000000</t>
  </si>
  <si>
    <t xml:space="preserve">21.20.10.113-000006-1-00055-0000000000000
</t>
  </si>
  <si>
    <t>21.20.10.253-000081-1-00001-0000000000000</t>
  </si>
  <si>
    <t>21.20.10.235-000002-1-00301-0000000000000</t>
  </si>
  <si>
    <t>21.20.10.261-000018-1-00068-0000000000000</t>
  </si>
  <si>
    <t>капли глазные,  20%, 10 мл - флакон-капельницы - пачки картонные</t>
  </si>
  <si>
    <t>Алгелдрат+Магния гидроксид/Маалокс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</si>
</sst>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vertAlign val="subscript"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0" fillId="0" borderId="0"/>
  </cellStyleXfs>
  <cellXfs count="81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0" fillId="0" borderId="0" xfId="0" applyAlignment="1">
      <alignment horizontal="left" wrapText="1"/>
    </xf>
    <xf numFmtId="0" fontId="6" fillId="0" borderId="0" xfId="0" applyFont="1" applyFill="1" applyBorder="1"/>
    <xf numFmtId="0" fontId="6" fillId="0" borderId="0" xfId="0" applyFont="1"/>
    <xf numFmtId="164" fontId="0" fillId="0" borderId="2" xfId="0" applyNumberFormat="1" applyFill="1" applyBorder="1"/>
    <xf numFmtId="0" fontId="7" fillId="0" borderId="3" xfId="0" applyFont="1" applyFill="1" applyBorder="1"/>
    <xf numFmtId="0" fontId="7" fillId="0" borderId="2" xfId="0" applyFont="1" applyFill="1" applyBorder="1" applyAlignment="1">
      <alignment wrapText="1"/>
    </xf>
    <xf numFmtId="0" fontId="7" fillId="0" borderId="2" xfId="0" applyFont="1" applyFill="1" applyBorder="1"/>
    <xf numFmtId="2" fontId="0" fillId="0" borderId="2" xfId="0" applyNumberFormat="1" applyFill="1" applyBorder="1"/>
    <xf numFmtId="0" fontId="0" fillId="0" borderId="2" xfId="0" applyFill="1" applyBorder="1"/>
    <xf numFmtId="9" fontId="0" fillId="0" borderId="2" xfId="1" applyFont="1" applyFill="1" applyBorder="1"/>
    <xf numFmtId="0" fontId="0" fillId="0" borderId="4" xfId="0" applyFill="1" applyBorder="1"/>
    <xf numFmtId="0" fontId="0" fillId="0" borderId="5" xfId="0" applyNumberFormat="1" applyFill="1" applyBorder="1"/>
    <xf numFmtId="0" fontId="0" fillId="0" borderId="5" xfId="0" applyFill="1" applyBorder="1"/>
    <xf numFmtId="0" fontId="7" fillId="0" borderId="6" xfId="0" applyFont="1" applyFill="1" applyBorder="1" applyAlignment="1"/>
    <xf numFmtId="0" fontId="7" fillId="0" borderId="7" xfId="0" applyFont="1" applyFill="1" applyBorder="1" applyAlignment="1"/>
    <xf numFmtId="0" fontId="7" fillId="0" borderId="8" xfId="0" applyFont="1" applyFill="1" applyBorder="1" applyAlignment="1"/>
    <xf numFmtId="4" fontId="0" fillId="0" borderId="9" xfId="0" applyNumberFormat="1" applyFill="1" applyBorder="1"/>
    <xf numFmtId="0" fontId="8" fillId="0" borderId="0" xfId="0" applyFont="1"/>
    <xf numFmtId="0" fontId="3" fillId="0" borderId="0" xfId="0" applyFont="1" applyAlignment="1">
      <alignment horizontal="right"/>
    </xf>
    <xf numFmtId="14" fontId="9" fillId="0" borderId="0" xfId="0" applyNumberFormat="1" applyFont="1"/>
    <xf numFmtId="0" fontId="9" fillId="0" borderId="0" xfId="0" applyFont="1"/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2" xfId="0" applyFont="1" applyBorder="1"/>
    <xf numFmtId="0" fontId="7" fillId="0" borderId="2" xfId="0" applyFont="1" applyBorder="1" applyAlignment="1">
      <alignment wrapText="1"/>
    </xf>
    <xf numFmtId="9" fontId="7" fillId="0" borderId="2" xfId="0" applyNumberFormat="1" applyFont="1" applyFill="1" applyBorder="1"/>
    <xf numFmtId="2" fontId="7" fillId="0" borderId="2" xfId="0" applyNumberFormat="1" applyFont="1" applyBorder="1"/>
    <xf numFmtId="0" fontId="7" fillId="0" borderId="0" xfId="0" applyFont="1"/>
    <xf numFmtId="0" fontId="7" fillId="0" borderId="2" xfId="0" applyFont="1" applyBorder="1" applyAlignment="1"/>
    <xf numFmtId="0" fontId="0" fillId="0" borderId="0" xfId="0" applyAlignment="1">
      <alignment wrapText="1"/>
    </xf>
    <xf numFmtId="0" fontId="14" fillId="0" borderId="0" xfId="0" applyFont="1"/>
    <xf numFmtId="0" fontId="7" fillId="0" borderId="0" xfId="0" applyFont="1" applyAlignment="1">
      <alignment horizontal="right" vertical="center"/>
    </xf>
    <xf numFmtId="0" fontId="12" fillId="0" borderId="0" xfId="0" applyFont="1" applyFill="1" applyAlignment="1">
      <alignment horizontal="center" vertical="center"/>
    </xf>
    <xf numFmtId="0" fontId="7" fillId="0" borderId="10" xfId="0" applyFont="1" applyFill="1" applyBorder="1"/>
    <xf numFmtId="0" fontId="7" fillId="0" borderId="11" xfId="0" applyFont="1" applyFill="1" applyBorder="1" applyAlignment="1">
      <alignment wrapText="1"/>
    </xf>
    <xf numFmtId="2" fontId="0" fillId="0" borderId="11" xfId="0" applyNumberFormat="1" applyFill="1" applyBorder="1"/>
    <xf numFmtId="164" fontId="0" fillId="0" borderId="11" xfId="0" applyNumberFormat="1" applyFill="1" applyBorder="1"/>
    <xf numFmtId="0" fontId="0" fillId="0" borderId="11" xfId="0" applyFill="1" applyBorder="1"/>
    <xf numFmtId="9" fontId="0" fillId="0" borderId="11" xfId="1" applyFont="1" applyFill="1" applyBorder="1"/>
    <xf numFmtId="0" fontId="0" fillId="0" borderId="12" xfId="0" applyFill="1" applyBorder="1"/>
    <xf numFmtId="0" fontId="0" fillId="0" borderId="13" xfId="0" applyNumberFormat="1" applyFill="1" applyBorder="1"/>
    <xf numFmtId="0" fontId="4" fillId="2" borderId="6" xfId="0" applyFont="1" applyFill="1" applyBorder="1" applyAlignment="1">
      <alignment vertical="center" textRotation="90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top" wrapText="1"/>
    </xf>
    <xf numFmtId="0" fontId="4" fillId="2" borderId="9" xfId="0" applyFont="1" applyFill="1" applyBorder="1" applyAlignment="1">
      <alignment vertical="center" wrapText="1"/>
    </xf>
    <xf numFmtId="0" fontId="7" fillId="0" borderId="14" xfId="0" applyFont="1" applyFill="1" applyBorder="1"/>
    <xf numFmtId="0" fontId="7" fillId="0" borderId="15" xfId="0" applyFont="1" applyFill="1" applyBorder="1" applyAlignment="1">
      <alignment wrapText="1"/>
    </xf>
    <xf numFmtId="0" fontId="0" fillId="0" borderId="15" xfId="0" applyFill="1" applyBorder="1"/>
    <xf numFmtId="0" fontId="4" fillId="2" borderId="2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4" fontId="0" fillId="0" borderId="2" xfId="0" applyNumberFormat="1" applyFill="1" applyBorder="1"/>
    <xf numFmtId="0" fontId="7" fillId="0" borderId="11" xfId="0" applyFont="1" applyBorder="1"/>
    <xf numFmtId="0" fontId="7" fillId="0" borderId="11" xfId="0" applyFont="1" applyBorder="1" applyAlignment="1">
      <alignment wrapText="1"/>
    </xf>
    <xf numFmtId="0" fontId="7" fillId="0" borderId="11" xfId="0" applyFont="1" applyFill="1" applyBorder="1"/>
    <xf numFmtId="9" fontId="7" fillId="0" borderId="11" xfId="0" applyNumberFormat="1" applyFont="1" applyFill="1" applyBorder="1"/>
    <xf numFmtId="2" fontId="7" fillId="0" borderId="11" xfId="0" applyNumberFormat="1" applyFont="1" applyBorder="1"/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horizontal="center" vertical="top" wrapText="1"/>
    </xf>
    <xf numFmtId="0" fontId="0" fillId="0" borderId="0" xfId="0" applyFill="1"/>
    <xf numFmtId="0" fontId="7" fillId="0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left" vertical="top" wrapText="1"/>
    </xf>
    <xf numFmtId="2" fontId="7" fillId="0" borderId="2" xfId="0" applyNumberFormat="1" applyFont="1" applyFill="1" applyBorder="1"/>
    <xf numFmtId="0" fontId="7" fillId="0" borderId="2" xfId="0" applyFont="1" applyFill="1" applyBorder="1" applyAlignment="1"/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104777</xdr:colOff>
      <xdr:row>2</xdr:row>
      <xdr:rowOff>57151</xdr:rowOff>
    </xdr:from>
    <xdr:to>
      <xdr:col>3</xdr:col>
      <xdr:colOff>1143001</xdr:colOff>
      <xdr:row>2</xdr:row>
      <xdr:rowOff>1200150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4777" y="971551"/>
          <a:ext cx="3781424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38100</xdr:rowOff>
    </xdr:from>
    <xdr:to>
      <xdr:col>2</xdr:col>
      <xdr:colOff>685800</xdr:colOff>
      <xdr:row>4</xdr:row>
      <xdr:rowOff>85725</xdr:rowOff>
    </xdr:to>
    <xdr:pic>
      <xdr:nvPicPr>
        <xdr:cNvPr id="2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295400"/>
          <a:ext cx="3390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V22"/>
  <sheetViews>
    <sheetView tabSelected="1" topLeftCell="A16" workbookViewId="0">
      <selection activeCell="D16" sqref="D16"/>
    </sheetView>
  </sheetViews>
  <sheetFormatPr defaultRowHeight="15" x14ac:dyDescent="0.25"/>
  <cols>
    <col min="1" max="1" width="2.85546875" customWidth="1"/>
    <col min="2" max="2" width="3.5703125" customWidth="1"/>
    <col min="3" max="3" width="34.7109375" customWidth="1"/>
    <col min="4" max="4" width="39.5703125" customWidth="1"/>
    <col min="5" max="5" width="8" customWidth="1"/>
    <col min="6" max="6" width="15" customWidth="1"/>
    <col min="7" max="7" width="17.28515625" customWidth="1"/>
    <col min="8" max="15" width="13.7109375" customWidth="1"/>
    <col min="16" max="16" width="13.28515625" customWidth="1"/>
  </cols>
  <sheetData>
    <row r="2" spans="2:256" ht="57" customHeight="1" x14ac:dyDescent="0.25">
      <c r="B2" s="72" t="s">
        <v>0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1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2:256" ht="96.75" customHeigh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2:256" ht="15.75" thickBot="1" x14ac:dyDescent="0.3"/>
    <row r="5" spans="2:256" ht="65.25" customHeight="1" thickBot="1" x14ac:dyDescent="0.3">
      <c r="B5" s="45" t="s">
        <v>1</v>
      </c>
      <c r="C5" s="46" t="s">
        <v>2</v>
      </c>
      <c r="D5" s="47" t="s">
        <v>3</v>
      </c>
      <c r="E5" s="46" t="s">
        <v>4</v>
      </c>
      <c r="F5" s="48" t="s">
        <v>5</v>
      </c>
      <c r="G5" s="47" t="s">
        <v>6</v>
      </c>
      <c r="H5" s="47" t="s">
        <v>7</v>
      </c>
      <c r="I5" s="47" t="s">
        <v>8</v>
      </c>
      <c r="J5" s="47" t="s">
        <v>9</v>
      </c>
      <c r="K5" s="47" t="s">
        <v>10</v>
      </c>
      <c r="L5" s="47" t="s">
        <v>11</v>
      </c>
      <c r="M5" s="47" t="s">
        <v>12</v>
      </c>
      <c r="N5" s="47" t="s">
        <v>13</v>
      </c>
      <c r="O5" s="47" t="s">
        <v>14</v>
      </c>
      <c r="P5" s="49" t="s">
        <v>15</v>
      </c>
      <c r="Q5" s="4"/>
      <c r="R5" s="5"/>
      <c r="S5" s="5"/>
      <c r="T5" s="5"/>
      <c r="U5" s="5"/>
      <c r="V5" s="5"/>
      <c r="W5" s="5"/>
      <c r="X5" s="5"/>
      <c r="Y5" s="5"/>
      <c r="Z5" s="5"/>
    </row>
    <row r="6" spans="2:256" ht="45.75" customHeight="1" x14ac:dyDescent="0.25">
      <c r="B6" s="37">
        <v>1</v>
      </c>
      <c r="C6" s="27" t="s">
        <v>36</v>
      </c>
      <c r="D6" s="38" t="s">
        <v>16</v>
      </c>
      <c r="E6" s="27" t="s">
        <v>17</v>
      </c>
      <c r="F6" s="9">
        <v>15</v>
      </c>
      <c r="G6" s="39">
        <f>'Анализ рынка'!O11</f>
        <v>24.615333333333336</v>
      </c>
      <c r="H6" s="40">
        <f>'Расчет средневзвешенной цены'!F11</f>
        <v>23.837333333333333</v>
      </c>
      <c r="I6" s="41">
        <v>0</v>
      </c>
      <c r="J6" s="39">
        <f>G6</f>
        <v>24.615333333333336</v>
      </c>
      <c r="K6" s="42">
        <v>0.12</v>
      </c>
      <c r="L6" s="42">
        <v>0.1</v>
      </c>
      <c r="M6" s="39">
        <f>ROUND((J6*(1+K6))*(1+L6),2)</f>
        <v>30.33</v>
      </c>
      <c r="N6" s="41">
        <v>15</v>
      </c>
      <c r="O6" s="43">
        <f>N6*F6</f>
        <v>225</v>
      </c>
      <c r="P6" s="44">
        <f>M6*O6</f>
        <v>6824.25</v>
      </c>
    </row>
    <row r="7" spans="2:256" ht="45" x14ac:dyDescent="0.25">
      <c r="B7" s="7">
        <v>2</v>
      </c>
      <c r="C7" s="28" t="s">
        <v>60</v>
      </c>
      <c r="D7" s="8" t="s">
        <v>94</v>
      </c>
      <c r="E7" s="27" t="s">
        <v>18</v>
      </c>
      <c r="F7" s="9">
        <v>45</v>
      </c>
      <c r="G7" s="39">
        <f>'Анализ рынка'!O12</f>
        <v>4.8586666666666662</v>
      </c>
      <c r="H7" s="6">
        <v>0</v>
      </c>
      <c r="I7" s="11">
        <v>0</v>
      </c>
      <c r="J7" s="10">
        <f t="shared" ref="J7:J15" si="0">G7</f>
        <v>4.8586666666666662</v>
      </c>
      <c r="K7" s="12">
        <v>0.12</v>
      </c>
      <c r="L7" s="12">
        <v>0.1</v>
      </c>
      <c r="M7" s="11">
        <f t="shared" ref="M7:M16" si="1">ROUND((J7*(1+K7))*(1+L7),2)</f>
        <v>5.99</v>
      </c>
      <c r="N7" s="11">
        <v>30</v>
      </c>
      <c r="O7" s="13">
        <f t="shared" ref="O7:O16" si="2">N7*F7</f>
        <v>1350</v>
      </c>
      <c r="P7" s="14">
        <f>O7*M7</f>
        <v>8086.5</v>
      </c>
    </row>
    <row r="8" spans="2:256" ht="45" x14ac:dyDescent="0.25">
      <c r="B8" s="7">
        <v>3</v>
      </c>
      <c r="C8" s="28" t="s">
        <v>61</v>
      </c>
      <c r="D8" s="8" t="s">
        <v>95</v>
      </c>
      <c r="E8" s="27" t="s">
        <v>17</v>
      </c>
      <c r="F8" s="9">
        <v>25</v>
      </c>
      <c r="G8" s="39">
        <f>'Анализ рынка'!O13</f>
        <v>1.2727999999999999</v>
      </c>
      <c r="H8" s="6">
        <v>0</v>
      </c>
      <c r="I8" s="11">
        <v>0</v>
      </c>
      <c r="J8" s="10">
        <f t="shared" si="0"/>
        <v>1.2727999999999999</v>
      </c>
      <c r="K8" s="12">
        <v>0.12</v>
      </c>
      <c r="L8" s="12">
        <v>0.1</v>
      </c>
      <c r="M8" s="11">
        <f t="shared" si="1"/>
        <v>1.57</v>
      </c>
      <c r="N8" s="11">
        <v>10</v>
      </c>
      <c r="O8" s="13">
        <f t="shared" si="2"/>
        <v>250</v>
      </c>
      <c r="P8" s="15">
        <f>O8*M8</f>
        <v>392.5</v>
      </c>
    </row>
    <row r="9" spans="2:256" ht="66" customHeight="1" x14ac:dyDescent="0.25">
      <c r="B9" s="7">
        <v>4</v>
      </c>
      <c r="C9" s="28" t="s">
        <v>62</v>
      </c>
      <c r="D9" s="8" t="s">
        <v>88</v>
      </c>
      <c r="E9" s="27" t="s">
        <v>18</v>
      </c>
      <c r="F9" s="9">
        <v>20</v>
      </c>
      <c r="G9" s="39">
        <f>'Анализ рынка'!O14</f>
        <v>14.704499999999999</v>
      </c>
      <c r="H9" s="6">
        <v>0</v>
      </c>
      <c r="I9" s="11">
        <v>0</v>
      </c>
      <c r="J9" s="10">
        <f t="shared" si="0"/>
        <v>14.704499999999999</v>
      </c>
      <c r="K9" s="12">
        <v>0.12</v>
      </c>
      <c r="L9" s="12">
        <v>0.1</v>
      </c>
      <c r="M9" s="11">
        <f t="shared" si="1"/>
        <v>18.12</v>
      </c>
      <c r="N9" s="11">
        <v>7</v>
      </c>
      <c r="O9" s="13">
        <f>N9*F9</f>
        <v>140</v>
      </c>
      <c r="P9" s="15">
        <f>O9*M9</f>
        <v>2536.8000000000002</v>
      </c>
    </row>
    <row r="10" spans="2:256" ht="30" x14ac:dyDescent="0.25">
      <c r="B10" s="7">
        <v>5</v>
      </c>
      <c r="C10" s="32" t="s">
        <v>38</v>
      </c>
      <c r="D10" s="8" t="s">
        <v>96</v>
      </c>
      <c r="E10" s="27" t="s">
        <v>17</v>
      </c>
      <c r="F10" s="9">
        <v>10</v>
      </c>
      <c r="G10" s="39">
        <f>'Анализ рынка'!O15</f>
        <v>7.9409999999999998</v>
      </c>
      <c r="H10" s="6">
        <v>0</v>
      </c>
      <c r="I10" s="57">
        <f>'Расчет средневзвешенной цены'!F12</f>
        <v>8.081999999999999</v>
      </c>
      <c r="J10" s="10">
        <f t="shared" si="0"/>
        <v>7.9409999999999998</v>
      </c>
      <c r="K10" s="12">
        <v>0.12</v>
      </c>
      <c r="L10" s="12">
        <v>0.1</v>
      </c>
      <c r="M10" s="11">
        <f t="shared" si="1"/>
        <v>9.7799999999999994</v>
      </c>
      <c r="N10" s="11">
        <v>15</v>
      </c>
      <c r="O10" s="13">
        <f t="shared" si="2"/>
        <v>150</v>
      </c>
      <c r="P10" s="15">
        <f t="shared" ref="P10:P16" si="3">O10*M10</f>
        <v>1467</v>
      </c>
    </row>
    <row r="11" spans="2:256" s="67" customFormat="1" ht="75" x14ac:dyDescent="0.25">
      <c r="B11" s="7">
        <v>6</v>
      </c>
      <c r="C11" s="8" t="s">
        <v>40</v>
      </c>
      <c r="D11" s="8" t="s">
        <v>20</v>
      </c>
      <c r="E11" s="9" t="s">
        <v>17</v>
      </c>
      <c r="F11" s="9">
        <v>50</v>
      </c>
      <c r="G11" s="39">
        <f>'Анализ рынка'!O16</f>
        <v>1.2727999999999999</v>
      </c>
      <c r="H11" s="6">
        <v>0</v>
      </c>
      <c r="I11" s="57">
        <f>'Расчет средневзвешенной цены'!F13</f>
        <v>1.3736000000000002</v>
      </c>
      <c r="J11" s="10">
        <f t="shared" si="0"/>
        <v>1.2727999999999999</v>
      </c>
      <c r="K11" s="12">
        <v>0.12</v>
      </c>
      <c r="L11" s="12">
        <v>0.1</v>
      </c>
      <c r="M11" s="11">
        <f t="shared" si="1"/>
        <v>1.57</v>
      </c>
      <c r="N11" s="11">
        <v>50</v>
      </c>
      <c r="O11" s="13">
        <f t="shared" si="2"/>
        <v>2500</v>
      </c>
      <c r="P11" s="15">
        <f>O11*M11</f>
        <v>3925</v>
      </c>
    </row>
    <row r="12" spans="2:256" s="67" customFormat="1" ht="38.25" customHeight="1" x14ac:dyDescent="0.25">
      <c r="B12" s="7">
        <v>7</v>
      </c>
      <c r="C12" s="8" t="s">
        <v>84</v>
      </c>
      <c r="D12" s="8" t="s">
        <v>85</v>
      </c>
      <c r="E12" s="9" t="s">
        <v>17</v>
      </c>
      <c r="F12" s="9">
        <f>30*15</f>
        <v>450</v>
      </c>
      <c r="G12" s="39">
        <f>'Анализ рынка'!O17</f>
        <v>2.4353555555555557</v>
      </c>
      <c r="H12" s="6">
        <v>0</v>
      </c>
      <c r="I12" s="11">
        <v>0</v>
      </c>
      <c r="J12" s="6">
        <f t="shared" si="0"/>
        <v>2.4353555555555557</v>
      </c>
      <c r="K12" s="12">
        <v>0.12</v>
      </c>
      <c r="L12" s="12">
        <v>0.1</v>
      </c>
      <c r="M12" s="11">
        <f t="shared" si="1"/>
        <v>3</v>
      </c>
      <c r="N12" s="11">
        <v>4</v>
      </c>
      <c r="O12" s="13">
        <f>N12*F12</f>
        <v>1800</v>
      </c>
      <c r="P12" s="15">
        <f>O12*M12</f>
        <v>5400</v>
      </c>
    </row>
    <row r="13" spans="2:256" ht="63.75" customHeight="1" x14ac:dyDescent="0.25">
      <c r="B13" s="7">
        <v>8</v>
      </c>
      <c r="C13" s="28" t="s">
        <v>65</v>
      </c>
      <c r="D13" s="8" t="s">
        <v>89</v>
      </c>
      <c r="E13" s="27" t="s">
        <v>17</v>
      </c>
      <c r="F13" s="9">
        <v>25</v>
      </c>
      <c r="G13" s="39">
        <f>'Анализ рынка'!O18</f>
        <v>0.66200000000000003</v>
      </c>
      <c r="H13" s="6">
        <v>0</v>
      </c>
      <c r="I13" s="11">
        <v>0</v>
      </c>
      <c r="J13" s="6">
        <f t="shared" si="0"/>
        <v>0.66200000000000003</v>
      </c>
      <c r="K13" s="12">
        <v>0.12</v>
      </c>
      <c r="L13" s="12">
        <v>0.1</v>
      </c>
      <c r="M13" s="11">
        <f t="shared" si="1"/>
        <v>0.82</v>
      </c>
      <c r="N13" s="11">
        <v>10</v>
      </c>
      <c r="O13" s="13">
        <f t="shared" si="2"/>
        <v>250</v>
      </c>
      <c r="P13" s="15">
        <f>O13*M13</f>
        <v>205</v>
      </c>
    </row>
    <row r="14" spans="2:256" ht="30" x14ac:dyDescent="0.25">
      <c r="B14" s="7">
        <v>9</v>
      </c>
      <c r="C14" s="28" t="s">
        <v>67</v>
      </c>
      <c r="D14" s="8" t="s">
        <v>90</v>
      </c>
      <c r="E14" s="27" t="s">
        <v>18</v>
      </c>
      <c r="F14" s="9">
        <v>30</v>
      </c>
      <c r="G14" s="39">
        <f>'Анализ рынка'!O19</f>
        <v>1.6893333333333334</v>
      </c>
      <c r="H14" s="6">
        <v>0</v>
      </c>
      <c r="I14" s="11">
        <v>0</v>
      </c>
      <c r="J14" s="10">
        <f t="shared" si="0"/>
        <v>1.6893333333333334</v>
      </c>
      <c r="K14" s="12">
        <v>0.12</v>
      </c>
      <c r="L14" s="12">
        <v>0.1</v>
      </c>
      <c r="M14" s="11">
        <f t="shared" si="1"/>
        <v>2.08</v>
      </c>
      <c r="N14" s="11">
        <v>10</v>
      </c>
      <c r="O14" s="13">
        <f t="shared" si="2"/>
        <v>300</v>
      </c>
      <c r="P14" s="15">
        <f t="shared" si="3"/>
        <v>624</v>
      </c>
    </row>
    <row r="15" spans="2:256" ht="45" x14ac:dyDescent="0.25">
      <c r="B15" s="7">
        <v>10</v>
      </c>
      <c r="C15" s="28" t="s">
        <v>74</v>
      </c>
      <c r="D15" s="8" t="s">
        <v>91</v>
      </c>
      <c r="E15" s="27" t="s">
        <v>17</v>
      </c>
      <c r="F15" s="9">
        <v>15</v>
      </c>
      <c r="G15" s="39">
        <f>'Анализ рынка'!O20</f>
        <v>46.242666666666665</v>
      </c>
      <c r="H15" s="6">
        <v>0</v>
      </c>
      <c r="I15" s="11">
        <v>0</v>
      </c>
      <c r="J15" s="10">
        <f t="shared" si="0"/>
        <v>46.242666666666665</v>
      </c>
      <c r="K15" s="12">
        <v>0.12</v>
      </c>
      <c r="L15" s="12">
        <v>0.1</v>
      </c>
      <c r="M15" s="11">
        <f t="shared" si="1"/>
        <v>56.97</v>
      </c>
      <c r="N15" s="11">
        <v>5</v>
      </c>
      <c r="O15" s="13">
        <f t="shared" si="2"/>
        <v>75</v>
      </c>
      <c r="P15" s="15">
        <f t="shared" si="3"/>
        <v>4272.75</v>
      </c>
    </row>
    <row r="16" spans="2:256" ht="78" customHeight="1" x14ac:dyDescent="0.25">
      <c r="B16" s="7">
        <v>11</v>
      </c>
      <c r="C16" s="28" t="s">
        <v>70</v>
      </c>
      <c r="D16" s="8" t="s">
        <v>92</v>
      </c>
      <c r="E16" s="27" t="s">
        <v>19</v>
      </c>
      <c r="F16" s="9">
        <v>50</v>
      </c>
      <c r="G16" s="39">
        <f>'Анализ рынка'!O21</f>
        <v>2.2410000000000001</v>
      </c>
      <c r="H16" s="6">
        <v>0</v>
      </c>
      <c r="I16" s="11">
        <v>0</v>
      </c>
      <c r="J16" s="10">
        <f>G16</f>
        <v>2.2410000000000001</v>
      </c>
      <c r="K16" s="12">
        <v>0.12</v>
      </c>
      <c r="L16" s="12">
        <v>0.1</v>
      </c>
      <c r="M16" s="11">
        <f t="shared" si="1"/>
        <v>2.76</v>
      </c>
      <c r="N16" s="11">
        <v>10</v>
      </c>
      <c r="O16" s="13">
        <f t="shared" si="2"/>
        <v>500</v>
      </c>
      <c r="P16" s="15">
        <f t="shared" si="3"/>
        <v>1380</v>
      </c>
    </row>
    <row r="17" spans="2:16" ht="78" customHeight="1" thickBot="1" x14ac:dyDescent="0.3">
      <c r="B17" s="50">
        <v>12</v>
      </c>
      <c r="C17" s="28" t="s">
        <v>79</v>
      </c>
      <c r="D17" s="51" t="s">
        <v>93</v>
      </c>
      <c r="E17" s="27" t="s">
        <v>17</v>
      </c>
      <c r="F17" s="9">
        <v>2</v>
      </c>
      <c r="G17" s="39">
        <f>'Анализ рынка'!O22</f>
        <v>4.6124999999999998</v>
      </c>
      <c r="H17" s="52"/>
      <c r="I17" s="52"/>
      <c r="J17" s="10">
        <f>G17</f>
        <v>4.6124999999999998</v>
      </c>
      <c r="K17" s="12">
        <v>0.12</v>
      </c>
      <c r="L17" s="12">
        <v>0.1</v>
      </c>
      <c r="M17" s="11">
        <f>ROUND((J17*(1+K17))*(1+L17),2)</f>
        <v>5.68</v>
      </c>
      <c r="N17" s="52">
        <v>20</v>
      </c>
      <c r="O17" s="13">
        <f t="shared" ref="O17" si="4">N17*F17</f>
        <v>40</v>
      </c>
      <c r="P17" s="15">
        <f>O17*M17</f>
        <v>227.2</v>
      </c>
    </row>
    <row r="18" spans="2:16" ht="15.75" thickBot="1" x14ac:dyDescent="0.3">
      <c r="B18" s="16" t="s">
        <v>21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/>
      <c r="P18" s="19">
        <f>SUM(P6:P17)</f>
        <v>35341</v>
      </c>
    </row>
    <row r="19" spans="2:16" ht="15.75" x14ac:dyDescent="0.25">
      <c r="B19" s="73" t="s">
        <v>22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</row>
    <row r="20" spans="2:16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2:16" x14ac:dyDescent="0.25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2:16" x14ac:dyDescent="0.25">
      <c r="B22" s="2"/>
      <c r="C22" s="21" t="s">
        <v>23</v>
      </c>
      <c r="D22" s="22">
        <v>46232</v>
      </c>
      <c r="F22" s="23"/>
      <c r="G22" s="20"/>
      <c r="H22" s="20"/>
      <c r="I22" s="20"/>
      <c r="J22" s="20"/>
      <c r="K22" s="20"/>
      <c r="L22" s="20"/>
      <c r="M22" s="20"/>
      <c r="N22" s="20"/>
      <c r="O22" s="20"/>
      <c r="P22" s="20"/>
    </row>
  </sheetData>
  <mergeCells count="2">
    <mergeCell ref="B2:O2"/>
    <mergeCell ref="B19:P19"/>
  </mergeCells>
  <pageMargins left="0.7" right="0.7" top="0.75" bottom="0.75" header="0.3" footer="0.3"/>
  <pageSetup paperSize="9" scale="5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6"/>
  <sheetViews>
    <sheetView topLeftCell="A11" workbookViewId="0">
      <selection activeCell="C19" sqref="C19"/>
    </sheetView>
  </sheetViews>
  <sheetFormatPr defaultRowHeight="15" x14ac:dyDescent="0.25"/>
  <cols>
    <col min="2" max="2" width="46" customWidth="1"/>
    <col min="3" max="3" width="55.28515625" customWidth="1"/>
    <col min="6" max="6" width="13.28515625" customWidth="1"/>
    <col min="7" max="9" width="8.42578125" customWidth="1"/>
    <col min="10" max="10" width="12.7109375" customWidth="1"/>
    <col min="11" max="11" width="8.42578125" customWidth="1"/>
    <col min="12" max="12" width="13" customWidth="1"/>
    <col min="13" max="13" width="8.28515625" customWidth="1"/>
    <col min="14" max="14" width="17.7109375" customWidth="1"/>
    <col min="15" max="15" width="15" customWidth="1"/>
  </cols>
  <sheetData>
    <row r="1" spans="1:15" ht="15.75" x14ac:dyDescent="0.25">
      <c r="C1" s="24" t="s">
        <v>24</v>
      </c>
    </row>
    <row r="2" spans="1:15" x14ac:dyDescent="0.25">
      <c r="B2" s="25"/>
    </row>
    <row r="3" spans="1:15" x14ac:dyDescent="0.25">
      <c r="A3" s="26"/>
    </row>
    <row r="4" spans="1:15" x14ac:dyDescent="0.25">
      <c r="A4" s="26" t="s">
        <v>25</v>
      </c>
    </row>
    <row r="5" spans="1:15" x14ac:dyDescent="0.25">
      <c r="A5" s="74" t="s">
        <v>26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1:15" x14ac:dyDescent="0.25">
      <c r="B6" s="25"/>
    </row>
    <row r="7" spans="1:15" x14ac:dyDescent="0.25">
      <c r="A7" s="26" t="s">
        <v>27</v>
      </c>
    </row>
    <row r="8" spans="1:15" x14ac:dyDescent="0.25">
      <c r="A8" s="25" t="s">
        <v>28</v>
      </c>
    </row>
    <row r="9" spans="1:15" ht="15.75" thickBot="1" x14ac:dyDescent="0.3">
      <c r="A9" s="25" t="s">
        <v>29</v>
      </c>
    </row>
    <row r="10" spans="1:15" ht="128.25" thickBot="1" x14ac:dyDescent="0.3">
      <c r="A10" s="63" t="s">
        <v>1</v>
      </c>
      <c r="B10" s="64" t="s">
        <v>30</v>
      </c>
      <c r="C10" s="65" t="s">
        <v>31</v>
      </c>
      <c r="D10" s="64" t="s">
        <v>4</v>
      </c>
      <c r="E10" s="64" t="s">
        <v>32</v>
      </c>
      <c r="F10" s="48" t="s">
        <v>82</v>
      </c>
      <c r="G10" s="48" t="s">
        <v>33</v>
      </c>
      <c r="H10" s="48" t="s">
        <v>83</v>
      </c>
      <c r="I10" s="48" t="s">
        <v>5</v>
      </c>
      <c r="J10" s="48" t="s">
        <v>80</v>
      </c>
      <c r="K10" s="48" t="s">
        <v>33</v>
      </c>
      <c r="L10" s="48" t="s">
        <v>81</v>
      </c>
      <c r="M10" s="48" t="s">
        <v>5</v>
      </c>
      <c r="N10" s="64" t="s">
        <v>34</v>
      </c>
      <c r="O10" s="66" t="s">
        <v>35</v>
      </c>
    </row>
    <row r="11" spans="1:15" s="31" customFormat="1" ht="30" x14ac:dyDescent="0.25">
      <c r="A11" s="58">
        <v>1</v>
      </c>
      <c r="B11" s="58" t="s">
        <v>36</v>
      </c>
      <c r="C11" s="59" t="s">
        <v>37</v>
      </c>
      <c r="D11" s="58" t="s">
        <v>17</v>
      </c>
      <c r="E11" s="60">
        <v>15</v>
      </c>
      <c r="F11" s="58">
        <v>415</v>
      </c>
      <c r="G11" s="61">
        <v>0.1</v>
      </c>
      <c r="H11" s="58">
        <f>ROUND(F11/(1+G11),2)</f>
        <v>377.27</v>
      </c>
      <c r="I11" s="60">
        <v>1</v>
      </c>
      <c r="J11" s="58">
        <v>406.15</v>
      </c>
      <c r="K11" s="61">
        <v>0.1</v>
      </c>
      <c r="L11" s="58">
        <f>ROUND(J11/(1+K11),2)</f>
        <v>369.23</v>
      </c>
      <c r="M11" s="60">
        <v>1</v>
      </c>
      <c r="N11" s="58">
        <f>MIN(H11,L11)</f>
        <v>369.23</v>
      </c>
      <c r="O11" s="62">
        <f>N11/M11/E11</f>
        <v>24.615333333333336</v>
      </c>
    </row>
    <row r="12" spans="1:15" s="31" customFormat="1" ht="45" x14ac:dyDescent="0.25">
      <c r="A12" s="27">
        <v>2</v>
      </c>
      <c r="B12" s="28" t="s">
        <v>60</v>
      </c>
      <c r="C12" s="28" t="s">
        <v>64</v>
      </c>
      <c r="D12" s="27" t="s">
        <v>18</v>
      </c>
      <c r="E12" s="9">
        <v>45</v>
      </c>
      <c r="F12" s="27">
        <v>266</v>
      </c>
      <c r="G12" s="29">
        <v>0.1</v>
      </c>
      <c r="H12" s="27">
        <f>ROUND(F12/(1+G12),2)</f>
        <v>241.82</v>
      </c>
      <c r="I12" s="9">
        <v>1</v>
      </c>
      <c r="J12" s="27">
        <v>240.5</v>
      </c>
      <c r="K12" s="29">
        <v>0.1</v>
      </c>
      <c r="L12" s="27">
        <f t="shared" ref="L12:L22" si="0">ROUND(J12/(1+K12),2)</f>
        <v>218.64</v>
      </c>
      <c r="M12" s="9">
        <v>1</v>
      </c>
      <c r="N12" s="27">
        <f t="shared" ref="N12:N22" si="1">MIN(H12,L12)</f>
        <v>218.64</v>
      </c>
      <c r="O12" s="30">
        <f t="shared" ref="O12:O22" si="2">N12/M12/E12</f>
        <v>4.8586666666666662</v>
      </c>
    </row>
    <row r="13" spans="1:15" s="31" customFormat="1" ht="45" x14ac:dyDescent="0.25">
      <c r="A13" s="27">
        <v>3</v>
      </c>
      <c r="B13" s="28" t="s">
        <v>61</v>
      </c>
      <c r="C13" s="28" t="s">
        <v>63</v>
      </c>
      <c r="D13" s="27" t="s">
        <v>17</v>
      </c>
      <c r="E13" s="9">
        <v>25</v>
      </c>
      <c r="F13" s="27">
        <v>46</v>
      </c>
      <c r="G13" s="29">
        <v>0.1</v>
      </c>
      <c r="H13" s="27">
        <f t="shared" ref="H13:H22" si="3">ROUND(F13/(1+G13),2)</f>
        <v>41.82</v>
      </c>
      <c r="I13" s="9">
        <v>1</v>
      </c>
      <c r="J13" s="27">
        <v>35</v>
      </c>
      <c r="K13" s="29">
        <v>0.1</v>
      </c>
      <c r="L13" s="27">
        <f t="shared" si="0"/>
        <v>31.82</v>
      </c>
      <c r="M13" s="9">
        <v>1</v>
      </c>
      <c r="N13" s="27">
        <f t="shared" si="1"/>
        <v>31.82</v>
      </c>
      <c r="O13" s="30">
        <f t="shared" si="2"/>
        <v>1.2727999999999999</v>
      </c>
    </row>
    <row r="14" spans="1:15" s="31" customFormat="1" ht="30" x14ac:dyDescent="0.25">
      <c r="A14" s="27">
        <v>4</v>
      </c>
      <c r="B14" s="28" t="s">
        <v>62</v>
      </c>
      <c r="C14" s="28" t="s">
        <v>86</v>
      </c>
      <c r="D14" s="27" t="s">
        <v>18</v>
      </c>
      <c r="E14" s="9">
        <v>20</v>
      </c>
      <c r="F14" s="27">
        <v>329</v>
      </c>
      <c r="G14" s="29">
        <v>0.1</v>
      </c>
      <c r="H14" s="27">
        <f t="shared" si="3"/>
        <v>299.08999999999997</v>
      </c>
      <c r="I14" s="9">
        <v>1</v>
      </c>
      <c r="J14" s="27">
        <v>323.5</v>
      </c>
      <c r="K14" s="29">
        <v>0.1</v>
      </c>
      <c r="L14" s="27">
        <f>ROUND(J14/(1+K14),2)</f>
        <v>294.08999999999997</v>
      </c>
      <c r="M14" s="9">
        <v>1</v>
      </c>
      <c r="N14" s="27">
        <f>MIN(H14,L14)</f>
        <v>294.08999999999997</v>
      </c>
      <c r="O14" s="30">
        <f>N14/M14/E14</f>
        <v>14.704499999999999</v>
      </c>
    </row>
    <row r="15" spans="1:15" s="67" customFormat="1" ht="30" x14ac:dyDescent="0.25">
      <c r="A15" s="9">
        <v>5</v>
      </c>
      <c r="B15" s="71" t="s">
        <v>38</v>
      </c>
      <c r="C15" s="8" t="s">
        <v>97</v>
      </c>
      <c r="D15" s="9" t="s">
        <v>17</v>
      </c>
      <c r="E15" s="9">
        <v>10</v>
      </c>
      <c r="F15" s="9">
        <v>93</v>
      </c>
      <c r="G15" s="29">
        <v>0.1</v>
      </c>
      <c r="H15" s="9">
        <f t="shared" si="3"/>
        <v>84.55</v>
      </c>
      <c r="I15" s="9">
        <v>1</v>
      </c>
      <c r="J15" s="9">
        <v>87.35</v>
      </c>
      <c r="K15" s="29">
        <v>0.1</v>
      </c>
      <c r="L15" s="9">
        <f t="shared" si="0"/>
        <v>79.41</v>
      </c>
      <c r="M15" s="9">
        <v>1</v>
      </c>
      <c r="N15" s="9">
        <f t="shared" si="1"/>
        <v>79.41</v>
      </c>
      <c r="O15" s="70">
        <f t="shared" si="2"/>
        <v>7.9409999999999998</v>
      </c>
    </row>
    <row r="16" spans="1:15" ht="45" x14ac:dyDescent="0.25">
      <c r="A16" s="27">
        <v>6</v>
      </c>
      <c r="B16" s="28" t="s">
        <v>40</v>
      </c>
      <c r="C16" s="28" t="s">
        <v>41</v>
      </c>
      <c r="D16" s="27" t="s">
        <v>17</v>
      </c>
      <c r="E16" s="9">
        <v>50</v>
      </c>
      <c r="F16" s="27">
        <v>70</v>
      </c>
      <c r="G16" s="29">
        <v>0.1</v>
      </c>
      <c r="H16" s="27">
        <f t="shared" si="3"/>
        <v>63.64</v>
      </c>
      <c r="I16" s="9">
        <v>1</v>
      </c>
      <c r="J16" s="27">
        <v>77.599999999999994</v>
      </c>
      <c r="K16" s="29">
        <v>0.1</v>
      </c>
      <c r="L16" s="27">
        <f t="shared" si="0"/>
        <v>70.55</v>
      </c>
      <c r="M16" s="9">
        <v>1</v>
      </c>
      <c r="N16" s="27">
        <f t="shared" si="1"/>
        <v>63.64</v>
      </c>
      <c r="O16" s="30">
        <f t="shared" si="2"/>
        <v>1.2727999999999999</v>
      </c>
    </row>
    <row r="17" spans="1:21" s="67" customFormat="1" ht="30" customHeight="1" x14ac:dyDescent="0.25">
      <c r="A17" s="68">
        <v>7</v>
      </c>
      <c r="B17" s="69" t="s">
        <v>98</v>
      </c>
      <c r="C17" s="8" t="s">
        <v>87</v>
      </c>
      <c r="D17" s="9" t="s">
        <v>17</v>
      </c>
      <c r="E17" s="9">
        <v>15</v>
      </c>
      <c r="F17" s="9">
        <v>1408</v>
      </c>
      <c r="G17" s="29">
        <v>0.1</v>
      </c>
      <c r="H17" s="9">
        <f>ROUND(F17/(1+G17),2)</f>
        <v>1280</v>
      </c>
      <c r="I17" s="9">
        <v>30</v>
      </c>
      <c r="J17" s="9">
        <v>1205.5</v>
      </c>
      <c r="K17" s="29">
        <v>0.1</v>
      </c>
      <c r="L17" s="9">
        <f>ROUND(J17/(1+K17),2)</f>
        <v>1095.9100000000001</v>
      </c>
      <c r="M17" s="9">
        <v>30</v>
      </c>
      <c r="N17" s="9">
        <f>MIN(H17,L17)</f>
        <v>1095.9100000000001</v>
      </c>
      <c r="O17" s="70">
        <f t="shared" si="2"/>
        <v>2.4353555555555557</v>
      </c>
    </row>
    <row r="18" spans="1:21" ht="30" x14ac:dyDescent="0.25">
      <c r="A18" s="27">
        <v>8</v>
      </c>
      <c r="B18" s="28" t="s">
        <v>65</v>
      </c>
      <c r="C18" s="28" t="s">
        <v>66</v>
      </c>
      <c r="D18" s="27" t="s">
        <v>17</v>
      </c>
      <c r="E18" s="9">
        <v>25</v>
      </c>
      <c r="F18" s="27">
        <v>39</v>
      </c>
      <c r="G18" s="29">
        <v>0.1</v>
      </c>
      <c r="H18" s="27">
        <f t="shared" si="3"/>
        <v>35.450000000000003</v>
      </c>
      <c r="I18" s="9">
        <v>1</v>
      </c>
      <c r="J18" s="27">
        <v>18.2</v>
      </c>
      <c r="K18" s="29">
        <v>0.1</v>
      </c>
      <c r="L18" s="27">
        <f t="shared" si="0"/>
        <v>16.55</v>
      </c>
      <c r="M18" s="9">
        <v>1</v>
      </c>
      <c r="N18" s="27">
        <f t="shared" si="1"/>
        <v>16.55</v>
      </c>
      <c r="O18" s="30">
        <f t="shared" si="2"/>
        <v>0.66200000000000003</v>
      </c>
    </row>
    <row r="19" spans="1:21" ht="30" x14ac:dyDescent="0.25">
      <c r="A19" s="27">
        <v>9</v>
      </c>
      <c r="B19" s="28" t="s">
        <v>67</v>
      </c>
      <c r="C19" s="28" t="s">
        <v>68</v>
      </c>
      <c r="D19" s="27" t="s">
        <v>18</v>
      </c>
      <c r="E19" s="9">
        <v>30</v>
      </c>
      <c r="F19" s="27">
        <v>58</v>
      </c>
      <c r="G19" s="29">
        <v>0.1</v>
      </c>
      <c r="H19" s="27">
        <f t="shared" si="3"/>
        <v>52.73</v>
      </c>
      <c r="I19" s="9">
        <v>1</v>
      </c>
      <c r="J19" s="27">
        <v>55.75</v>
      </c>
      <c r="K19" s="29">
        <v>0.1</v>
      </c>
      <c r="L19" s="27">
        <f t="shared" si="0"/>
        <v>50.68</v>
      </c>
      <c r="M19" s="9">
        <v>1</v>
      </c>
      <c r="N19" s="27">
        <f t="shared" si="1"/>
        <v>50.68</v>
      </c>
      <c r="O19" s="30">
        <f t="shared" si="2"/>
        <v>1.6893333333333334</v>
      </c>
    </row>
    <row r="20" spans="1:21" ht="30" x14ac:dyDescent="0.25">
      <c r="A20" s="27">
        <v>10</v>
      </c>
      <c r="B20" s="28" t="s">
        <v>74</v>
      </c>
      <c r="C20" s="28" t="s">
        <v>69</v>
      </c>
      <c r="D20" s="27" t="s">
        <v>17</v>
      </c>
      <c r="E20" s="9">
        <v>15</v>
      </c>
      <c r="F20" s="27">
        <v>763</v>
      </c>
      <c r="G20" s="29">
        <v>0.1</v>
      </c>
      <c r="H20" s="27">
        <f t="shared" si="3"/>
        <v>693.64</v>
      </c>
      <c r="I20" s="9">
        <v>1</v>
      </c>
      <c r="J20" s="27">
        <v>811.95</v>
      </c>
      <c r="K20" s="29">
        <v>0.1</v>
      </c>
      <c r="L20" s="27">
        <f t="shared" si="0"/>
        <v>738.14</v>
      </c>
      <c r="M20" s="9">
        <v>1</v>
      </c>
      <c r="N20" s="27">
        <f t="shared" si="1"/>
        <v>693.64</v>
      </c>
      <c r="O20" s="30">
        <f t="shared" si="2"/>
        <v>46.242666666666665</v>
      </c>
    </row>
    <row r="21" spans="1:21" ht="45" x14ac:dyDescent="0.25">
      <c r="A21" s="27">
        <v>11</v>
      </c>
      <c r="B21" s="28" t="s">
        <v>70</v>
      </c>
      <c r="C21" s="28" t="s">
        <v>71</v>
      </c>
      <c r="D21" s="27" t="s">
        <v>19</v>
      </c>
      <c r="E21" s="9">
        <v>1</v>
      </c>
      <c r="F21" s="27">
        <v>199</v>
      </c>
      <c r="G21" s="29">
        <v>0.1</v>
      </c>
      <c r="H21" s="27">
        <f t="shared" si="3"/>
        <v>180.91</v>
      </c>
      <c r="I21" s="9">
        <v>50</v>
      </c>
      <c r="J21" s="27">
        <v>123.25</v>
      </c>
      <c r="K21" s="29">
        <v>0.1</v>
      </c>
      <c r="L21" s="27">
        <f t="shared" si="0"/>
        <v>112.05</v>
      </c>
      <c r="M21" s="9">
        <v>50</v>
      </c>
      <c r="N21" s="27">
        <f t="shared" si="1"/>
        <v>112.05</v>
      </c>
      <c r="O21" s="30">
        <f>N21/M21/E21</f>
        <v>2.2410000000000001</v>
      </c>
    </row>
    <row r="22" spans="1:21" ht="30" x14ac:dyDescent="0.25">
      <c r="A22" s="27">
        <v>12</v>
      </c>
      <c r="B22" s="28" t="s">
        <v>72</v>
      </c>
      <c r="C22" s="28" t="s">
        <v>73</v>
      </c>
      <c r="D22" s="27" t="s">
        <v>17</v>
      </c>
      <c r="E22" s="9">
        <v>2</v>
      </c>
      <c r="F22" s="27">
        <v>123</v>
      </c>
      <c r="G22" s="29">
        <v>0.1</v>
      </c>
      <c r="H22" s="27">
        <f t="shared" si="3"/>
        <v>111.82</v>
      </c>
      <c r="I22" s="9">
        <v>10</v>
      </c>
      <c r="J22" s="27">
        <v>101.47</v>
      </c>
      <c r="K22" s="29">
        <v>0.1</v>
      </c>
      <c r="L22" s="27">
        <f t="shared" si="0"/>
        <v>92.25</v>
      </c>
      <c r="M22" s="9">
        <v>10</v>
      </c>
      <c r="N22" s="27">
        <f t="shared" si="1"/>
        <v>92.25</v>
      </c>
      <c r="O22" s="30">
        <f t="shared" si="2"/>
        <v>4.6124999999999998</v>
      </c>
    </row>
    <row r="23" spans="1:21" x14ac:dyDescent="0.25">
      <c r="C23" s="33"/>
    </row>
    <row r="26" spans="1:21" x14ac:dyDescent="0.25">
      <c r="A26" s="75" t="s">
        <v>42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</row>
  </sheetData>
  <mergeCells count="2">
    <mergeCell ref="A5:N5"/>
    <mergeCell ref="A26:U26"/>
  </mergeCells>
  <pageMargins left="0.7" right="0.7" top="0.75" bottom="0.75" header="0.3" footer="0.3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workbookViewId="0">
      <selection activeCell="A19" sqref="A19:XFD23"/>
    </sheetView>
  </sheetViews>
  <sheetFormatPr defaultRowHeight="15" x14ac:dyDescent="0.25"/>
  <cols>
    <col min="1" max="1" width="3.7109375" customWidth="1"/>
    <col min="2" max="2" width="9.5703125" customWidth="1"/>
    <col min="3" max="3" width="43.140625" customWidth="1"/>
    <col min="4" max="4" width="67.42578125" customWidth="1"/>
    <col min="5" max="8" width="14" customWidth="1"/>
  </cols>
  <sheetData>
    <row r="1" spans="1:11" s="34" customFormat="1" ht="18.75" customHeight="1" x14ac:dyDescent="0.25">
      <c r="A1"/>
      <c r="B1" s="25" t="s">
        <v>43</v>
      </c>
      <c r="C1" s="25"/>
      <c r="D1"/>
      <c r="E1"/>
      <c r="F1"/>
      <c r="G1"/>
      <c r="H1"/>
    </row>
    <row r="2" spans="1:11" s="34" customFormat="1" ht="80.25" customHeight="1" x14ac:dyDescent="0.25">
      <c r="A2"/>
      <c r="B2" s="25" t="s">
        <v>44</v>
      </c>
      <c r="C2" s="25"/>
      <c r="D2"/>
      <c r="E2"/>
      <c r="F2"/>
      <c r="G2"/>
      <c r="H2"/>
    </row>
    <row r="3" spans="1:11" s="34" customFormat="1" ht="17.25" customHeight="1" x14ac:dyDescent="0.25">
      <c r="A3"/>
      <c r="B3"/>
      <c r="C3" s="25"/>
      <c r="D3"/>
      <c r="E3"/>
      <c r="F3"/>
      <c r="G3"/>
      <c r="H3"/>
    </row>
    <row r="4" spans="1:11" x14ac:dyDescent="0.25">
      <c r="B4" s="25"/>
      <c r="C4" s="35" t="s">
        <v>45</v>
      </c>
    </row>
    <row r="5" spans="1:11" x14ac:dyDescent="0.25">
      <c r="B5" s="25" t="s">
        <v>46</v>
      </c>
      <c r="C5" s="25"/>
    </row>
    <row r="6" spans="1:11" ht="16.5" x14ac:dyDescent="0.25">
      <c r="B6" s="25" t="s">
        <v>47</v>
      </c>
      <c r="C6" s="25"/>
    </row>
    <row r="7" spans="1:11" x14ac:dyDescent="0.25">
      <c r="B7" s="25" t="s">
        <v>48</v>
      </c>
      <c r="C7" s="25"/>
    </row>
    <row r="8" spans="1:11" x14ac:dyDescent="0.25">
      <c r="B8" s="25"/>
      <c r="C8" s="25"/>
    </row>
    <row r="9" spans="1:11" ht="39" customHeight="1" x14ac:dyDescent="0.25">
      <c r="B9" s="76" t="s">
        <v>1</v>
      </c>
      <c r="C9" s="78" t="s">
        <v>30</v>
      </c>
      <c r="D9" s="78" t="s">
        <v>31</v>
      </c>
      <c r="E9" s="78" t="s">
        <v>4</v>
      </c>
      <c r="F9" s="79" t="s">
        <v>77</v>
      </c>
      <c r="G9" s="80"/>
    </row>
    <row r="10" spans="1:11" ht="76.5" x14ac:dyDescent="0.25">
      <c r="B10" s="77"/>
      <c r="C10" s="78"/>
      <c r="D10" s="78"/>
      <c r="E10" s="78"/>
      <c r="F10" s="53" t="s">
        <v>75</v>
      </c>
      <c r="G10" s="53" t="s">
        <v>76</v>
      </c>
    </row>
    <row r="11" spans="1:11" ht="39" customHeight="1" x14ac:dyDescent="0.25">
      <c r="B11" s="27">
        <v>1</v>
      </c>
      <c r="C11" s="27" t="s">
        <v>36</v>
      </c>
      <c r="D11" s="28" t="s">
        <v>37</v>
      </c>
      <c r="E11" s="27" t="s">
        <v>17</v>
      </c>
      <c r="F11" s="54">
        <f>357.56/15</f>
        <v>23.837333333333333</v>
      </c>
      <c r="G11" s="55">
        <f>15*10</f>
        <v>150</v>
      </c>
    </row>
    <row r="12" spans="1:11" ht="21.75" customHeight="1" x14ac:dyDescent="0.25">
      <c r="B12" s="27">
        <v>5</v>
      </c>
      <c r="C12" s="32" t="s">
        <v>38</v>
      </c>
      <c r="D12" s="28" t="s">
        <v>39</v>
      </c>
      <c r="E12" s="27" t="s">
        <v>17</v>
      </c>
      <c r="F12" s="54">
        <f>80.82/10</f>
        <v>8.081999999999999</v>
      </c>
      <c r="G12" s="55">
        <f>10*10</f>
        <v>100</v>
      </c>
    </row>
    <row r="13" spans="1:11" ht="42" customHeight="1" x14ac:dyDescent="0.25">
      <c r="B13" s="27">
        <v>6</v>
      </c>
      <c r="C13" s="28" t="s">
        <v>40</v>
      </c>
      <c r="D13" s="28" t="s">
        <v>41</v>
      </c>
      <c r="E13" s="27" t="s">
        <v>17</v>
      </c>
      <c r="F13" s="54">
        <f>68.68/50</f>
        <v>1.3736000000000002</v>
      </c>
      <c r="G13" s="55">
        <f>50*10</f>
        <v>500</v>
      </c>
    </row>
    <row r="14" spans="1:11" ht="19.5" customHeight="1" x14ac:dyDescent="0.25"/>
    <row r="15" spans="1:11" ht="15" customHeight="1" x14ac:dyDescent="0.25">
      <c r="C15" s="36" t="s">
        <v>50</v>
      </c>
      <c r="D15" s="25" t="s">
        <v>49</v>
      </c>
      <c r="E15" s="25"/>
      <c r="F15" s="25"/>
      <c r="G15" s="25"/>
      <c r="H15" s="25"/>
      <c r="I15" s="25"/>
      <c r="J15" s="25"/>
      <c r="K15" s="25"/>
    </row>
    <row r="16" spans="1:11" ht="15" customHeight="1" x14ac:dyDescent="0.25">
      <c r="C16" s="36" t="s">
        <v>51</v>
      </c>
      <c r="D16" s="25" t="s">
        <v>49</v>
      </c>
      <c r="E16" s="25"/>
      <c r="F16" s="25"/>
      <c r="G16" s="25"/>
      <c r="H16" s="25"/>
      <c r="I16" s="25"/>
      <c r="J16" s="25"/>
      <c r="K16" s="25"/>
    </row>
    <row r="17" spans="3:11" ht="15" customHeight="1" x14ac:dyDescent="0.25">
      <c r="C17" s="36" t="s">
        <v>52</v>
      </c>
      <c r="D17" s="25" t="s">
        <v>49</v>
      </c>
      <c r="E17" s="25"/>
      <c r="F17" s="25"/>
      <c r="G17" s="25"/>
      <c r="H17" s="25"/>
      <c r="I17" s="25"/>
      <c r="J17" s="25"/>
      <c r="K17" s="25"/>
    </row>
    <row r="18" spans="3:11" ht="15" customHeight="1" x14ac:dyDescent="0.25">
      <c r="C18" s="36" t="s">
        <v>53</v>
      </c>
      <c r="D18" s="25" t="s">
        <v>49</v>
      </c>
      <c r="E18" s="25"/>
      <c r="F18" s="25"/>
      <c r="G18" s="25"/>
      <c r="H18" s="25"/>
      <c r="I18" s="25"/>
      <c r="J18" s="25"/>
      <c r="K18" s="25"/>
    </row>
    <row r="19" spans="3:11" ht="16.5" x14ac:dyDescent="0.25">
      <c r="C19" s="36" t="s">
        <v>54</v>
      </c>
      <c r="D19" s="25" t="s">
        <v>49</v>
      </c>
      <c r="E19" s="25"/>
      <c r="F19" s="25"/>
      <c r="G19" s="25"/>
      <c r="H19" s="25"/>
      <c r="I19" s="25"/>
      <c r="J19" s="25"/>
      <c r="K19" s="25"/>
    </row>
    <row r="20" spans="3:11" ht="16.5" x14ac:dyDescent="0.25">
      <c r="C20" s="36" t="s">
        <v>55</v>
      </c>
      <c r="D20" s="25" t="s">
        <v>49</v>
      </c>
      <c r="E20" s="25"/>
      <c r="F20" s="25"/>
      <c r="G20" s="25"/>
      <c r="H20" s="25"/>
      <c r="I20" s="25"/>
      <c r="J20" s="25"/>
      <c r="K20" s="25"/>
    </row>
    <row r="21" spans="3:11" ht="16.5" x14ac:dyDescent="0.25">
      <c r="C21" s="36" t="s">
        <v>56</v>
      </c>
      <c r="D21" s="25" t="s">
        <v>49</v>
      </c>
      <c r="E21" s="25"/>
      <c r="F21" s="25"/>
      <c r="G21" s="25"/>
      <c r="H21" s="25"/>
      <c r="I21" s="25"/>
      <c r="J21" s="25"/>
      <c r="K21" s="25"/>
    </row>
    <row r="22" spans="3:11" ht="16.5" x14ac:dyDescent="0.25">
      <c r="C22" s="36" t="s">
        <v>57</v>
      </c>
      <c r="D22" s="56" t="s">
        <v>49</v>
      </c>
      <c r="E22" s="56"/>
      <c r="F22" s="56"/>
      <c r="G22" s="56"/>
      <c r="H22" s="56"/>
      <c r="I22" s="56"/>
      <c r="J22" s="56"/>
      <c r="K22" s="56"/>
    </row>
    <row r="23" spans="3:11" ht="16.5" x14ac:dyDescent="0.25">
      <c r="C23" s="36" t="s">
        <v>78</v>
      </c>
      <c r="D23" s="56" t="s">
        <v>49</v>
      </c>
      <c r="E23" s="56"/>
      <c r="F23" s="56"/>
      <c r="G23" s="56"/>
      <c r="H23" s="56"/>
      <c r="I23" s="56"/>
      <c r="J23" s="56"/>
      <c r="K23" s="56"/>
    </row>
  </sheetData>
  <mergeCells count="5">
    <mergeCell ref="B9:B10"/>
    <mergeCell ref="C9:C10"/>
    <mergeCell ref="D9:D10"/>
    <mergeCell ref="E9:E10"/>
    <mergeCell ref="F9:G9"/>
  </mergeCells>
  <pageMargins left="0.7" right="0.7" top="0.75" bottom="0.75" header="0.3" footer="0.3"/>
  <pageSetup paperSize="9" scale="7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3"/>
  <sheetViews>
    <sheetView workbookViewId="0">
      <selection sqref="A1:J6"/>
    </sheetView>
  </sheetViews>
  <sheetFormatPr defaultRowHeight="15" x14ac:dyDescent="0.25"/>
  <sheetData>
    <row r="2" spans="1:1" x14ac:dyDescent="0.25">
      <c r="A2" s="25" t="s">
        <v>58</v>
      </c>
    </row>
    <row r="3" spans="1:1" x14ac:dyDescent="0.25">
      <c r="A3" s="25" t="s">
        <v>59</v>
      </c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Расчет средневзвешенной цены</vt:lpstr>
      <vt:lpstr>Расчет референтной цены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Ведяшкина_АН</dc:creator>
  <cp:lastModifiedBy>Ведяшкина_АН</cp:lastModifiedBy>
  <cp:lastPrinted>2026-08-03T01:48:20Z</cp:lastPrinted>
  <dcterms:created xsi:type="dcterms:W3CDTF">2026-07-15T02:13:53Z</dcterms:created>
  <dcterms:modified xsi:type="dcterms:W3CDTF">2026-08-03T03:34:00Z</dcterms:modified>
</cp:coreProperties>
</file>