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zakupki\ЗАКУПКИ\2026\44-ФЗ\ЕД.ПОСТАВЩИК\ЕАТ\В РАБОТЕ\Аптека\...483Тигециклин Калия Хлорид\на размещение\"/>
    </mc:Choice>
  </mc:AlternateContent>
  <bookViews>
    <workbookView xWindow="4785" yWindow="660" windowWidth="10575" windowHeight="6675"/>
  </bookViews>
  <sheets>
    <sheet name="НМЦК" sheetId="1" r:id="rId1"/>
    <sheet name="Лист2" sheetId="11" r:id="rId2"/>
    <sheet name="кп" sheetId="9" r:id="rId3"/>
  </sheets>
  <definedNames>
    <definedName name="_xlnm.Print_Area" localSheetId="0">НМЦК!$A$1:$X$24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4" i="1" l="1"/>
  <c r="O42" i="11" l="1"/>
  <c r="O46" i="11" s="1"/>
  <c r="M42" i="11"/>
  <c r="M46" i="11" s="1"/>
  <c r="E43" i="11"/>
  <c r="E46" i="11" s="1"/>
  <c r="E42" i="11"/>
  <c r="O35" i="11"/>
  <c r="M35" i="11"/>
  <c r="E36" i="11"/>
  <c r="E35" i="11"/>
  <c r="L4" i="9"/>
  <c r="M4" i="9" s="1"/>
  <c r="J13" i="1" s="1"/>
  <c r="F4" i="9"/>
  <c r="G4" i="9" s="1"/>
  <c r="F13" i="1" s="1"/>
  <c r="I4" i="9"/>
  <c r="M2" i="9"/>
  <c r="J11" i="1" s="1"/>
  <c r="M3" i="9"/>
  <c r="J12" i="1" s="1"/>
  <c r="J2" i="9"/>
  <c r="H11" i="1" s="1"/>
  <c r="J3" i="9"/>
  <c r="H12" i="1" s="1"/>
  <c r="J4" i="9"/>
  <c r="H13" i="1" s="1"/>
  <c r="G2" i="9"/>
  <c r="F11" i="1" s="1"/>
  <c r="G3" i="9"/>
  <c r="F12" i="1" s="1"/>
  <c r="X12" i="1"/>
  <c r="X13" i="1"/>
  <c r="Q12" i="1"/>
  <c r="T12" i="1" s="1"/>
  <c r="Q13" i="1"/>
  <c r="T13" i="1" s="1"/>
  <c r="M48" i="11" l="1"/>
  <c r="O48" i="11"/>
  <c r="L12" i="1"/>
  <c r="L13" i="1"/>
  <c r="L11" i="1"/>
  <c r="M13" i="1"/>
  <c r="N13" i="1" s="1"/>
  <c r="O13" i="1"/>
  <c r="U13" i="1" s="1"/>
  <c r="V13" i="1" s="1"/>
  <c r="W13" i="1" s="1"/>
  <c r="O12" i="1"/>
  <c r="U12" i="1" s="1"/>
  <c r="V12" i="1" s="1"/>
  <c r="M12" i="1"/>
  <c r="N12" i="1" s="1"/>
  <c r="Q11" i="1"/>
  <c r="O21" i="11"/>
  <c r="M21" i="11"/>
  <c r="E21" i="11"/>
  <c r="E22" i="11" s="1"/>
  <c r="O15" i="11"/>
  <c r="M15" i="11"/>
  <c r="E15" i="11"/>
  <c r="E16" i="11" s="1"/>
  <c r="O11" i="11"/>
  <c r="O25" i="11" s="1"/>
  <c r="M11" i="11"/>
  <c r="E11" i="11"/>
  <c r="E12" i="11" s="1"/>
  <c r="M25" i="11" l="1"/>
  <c r="E25" i="11"/>
  <c r="O26" i="11" s="1"/>
  <c r="M26" i="11" l="1"/>
  <c r="X11" i="1" l="1"/>
  <c r="T11" i="1"/>
  <c r="O11" i="1" l="1"/>
  <c r="U11" i="1" s="1"/>
  <c r="V11" i="1" s="1"/>
  <c r="M11" i="1"/>
  <c r="AC14" i="1"/>
  <c r="N11" i="1" l="1"/>
  <c r="AF14" i="1"/>
  <c r="AI14" i="1"/>
</calcChain>
</file>

<file path=xl/sharedStrings.xml><?xml version="1.0" encoding="utf-8"?>
<sst xmlns="http://schemas.openxmlformats.org/spreadsheetml/2006/main" count="142" uniqueCount="82">
  <si>
    <t>№</t>
  </si>
  <si>
    <t>Потребность (лекарственная форма, дозировка, фасовка)</t>
  </si>
  <si>
    <t>Ед.изм.</t>
  </si>
  <si>
    <t>Кол-во</t>
  </si>
  <si>
    <t>Наименование предмета контракта</t>
  </si>
  <si>
    <t>Коммерческие предложения</t>
  </si>
  <si>
    <t>Однородность совокупности значений выявленных цен, используемых в расчете цена контракта</t>
  </si>
  <si>
    <t xml:space="preserve">Цена единицы планируемого к закупке лекарственного средства </t>
  </si>
  <si>
    <t>grls.rosminzdrav.ru</t>
  </si>
  <si>
    <t>Заключенные заказчиком контракты (договора) за предшествующие 12 месяцев (без учета НДС и оптовой надбавки)</t>
  </si>
  <si>
    <t>Средневзвешенная цена</t>
  </si>
  <si>
    <t>Цена единицы планируемого  к закупке лекарственного средства (руб./ед.изм.)</t>
  </si>
  <si>
    <t>Цена единицы планируемого  к закупке лекарственного средства с учетом НДС (руб./ед.изм.)</t>
  </si>
  <si>
    <t>Цена единицы планируемого  к закупке лекарственного средства с учетом НДС и оптовой надбавки</t>
  </si>
  <si>
    <t>НМЦК с учетом округления цены за единицу (руб.)*</t>
  </si>
  <si>
    <t>Цена</t>
  </si>
  <si>
    <t>Сред. арифм. цена за ед &lt;ц&gt;</t>
  </si>
  <si>
    <t>Сред. квадратич. отклонение</t>
  </si>
  <si>
    <t>Коэффициент вариации цен  V (%)</t>
  </si>
  <si>
    <t>Цена (руб. за ед. изм)</t>
  </si>
  <si>
    <t>кол-во закупленных лекарственных препаратов в ед изм</t>
  </si>
  <si>
    <t>Общая стоимость (руб.)</t>
  </si>
  <si>
    <t>Расчет произведен с помощью стандартных функций табличного редактора EXCEL.</t>
  </si>
  <si>
    <t>к-во уп</t>
  </si>
  <si>
    <t>цена за уп</t>
  </si>
  <si>
    <t>сумма</t>
  </si>
  <si>
    <t>ОМС по НМЦК</t>
  </si>
  <si>
    <t xml:space="preserve">ВМП по НМЦК </t>
  </si>
  <si>
    <t>Вб по НМЦК</t>
  </si>
  <si>
    <t>КП-1</t>
  </si>
  <si>
    <t>КП-3</t>
  </si>
  <si>
    <t>КП-2</t>
  </si>
  <si>
    <t xml:space="preserve">ОБОСНОВАНИЕ НАЧАЛЬНОЙ (МАКСИМАЛЬНОЙ) ЦЕНЫ КОНТРАКТА
Определение и обоснование начальной (максимальной) цены контракта проведено в соответствии с положениями ч.22, ст. 22 Федерального закона от 05.04.2013 № 44 – ФЗ «О контрактной системе в сфере закупок товаров, работ, услуг для обеспечения государственных и муниципальных нужд» и Порядком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применения, утвержденных приказом Министерства Здравоохранения РФ от 19.12.2019 № 1064н. 
</t>
  </si>
  <si>
    <t>мг</t>
  </si>
  <si>
    <t>Исп.                              Зятькова Т.Б.</t>
  </si>
  <si>
    <t>мл</t>
  </si>
  <si>
    <t>ТИГЕЦИКЛИН</t>
  </si>
  <si>
    <t>Лиофилизат для приготовления раствора для инфузий 50мг</t>
  </si>
  <si>
    <t>Номенклатура</t>
  </si>
  <si>
    <t>Поступление товаров</t>
  </si>
  <si>
    <t>К.</t>
  </si>
  <si>
    <t>Сумма</t>
  </si>
  <si>
    <t>Фактическая</t>
  </si>
  <si>
    <t>Тигелин АФ, лиоф. д/приг. конц. д/приг. р-ра д/инф. 50 мг, фл. 50 мг, пач. картон. 1</t>
  </si>
  <si>
    <t>Поступление товаров АБ00-000424 от 25.08.2025 13:59:20</t>
  </si>
  <si>
    <t>A570525 до 01.05.27</t>
  </si>
  <si>
    <t>пач. картон. 1</t>
  </si>
  <si>
    <t>Поступление товаров АБ00-000542 от 03.10.2025 15:41:13</t>
  </si>
  <si>
    <t>Поступление товаров АБ00-000174 от 07.05.2026 16:03:51</t>
  </si>
  <si>
    <t>A841125 до 01.11.28</t>
  </si>
  <si>
    <t>Поступление товаров АБ00-000200 от 22.05.2026 12:49:27</t>
  </si>
  <si>
    <t>A921225 до 01.12.28</t>
  </si>
  <si>
    <t>Тигециклин, лиоф. д/приг. конц. д/приг. р-ра д/инф. 50 мг, фл. 50 мг, пач. картон. 10</t>
  </si>
  <si>
    <t>Поступление товаров АБ00-000801 от 15.12.2025 11:02:12</t>
  </si>
  <si>
    <t>051125 до 30.11.28</t>
  </si>
  <si>
    <t>пач. картон. 10</t>
  </si>
  <si>
    <t>Тигециклин, лиоф. д/приг. р-ра д/инф. 50 мг, фл. 50 мг, пач. картон. 1</t>
  </si>
  <si>
    <t>Поступление товаров АБ00-000767 от 04.12.2025 14:19:57</t>
  </si>
  <si>
    <t>40725 до 31.07.28</t>
  </si>
  <si>
    <t>Поступление товаров АБ00-000127 от 23.04.2026 12:35:51</t>
  </si>
  <si>
    <t>101225 до 31.12.28</t>
  </si>
  <si>
    <t>Поступление товаров АБ00-000129 от 23.04.2026 12:42:51</t>
  </si>
  <si>
    <t>ИТОГО</t>
  </si>
  <si>
    <t>цена за мг</t>
  </si>
  <si>
    <t xml:space="preserve">КАЛИЯ ХЛОРИД  </t>
  </si>
  <si>
    <t>Концентрат для приготовления раствора для инфузий 40 мг/мл 200 МЛ</t>
  </si>
  <si>
    <t>КП №1072 от 26.08.2026</t>
  </si>
  <si>
    <t>КП №1073 от 26.08.2026</t>
  </si>
  <si>
    <t>КП №1074 от 26.08.2026</t>
  </si>
  <si>
    <t>Калия хлорид, конц. д/приг. р-ра д/инф. 40 мг/мл, фл. 200 мл, пач. картон. 20</t>
  </si>
  <si>
    <t>Поступление товаров АБ00-000613 от 23.10.2025 11:07:39</t>
  </si>
  <si>
    <t>090925 до 31.08.27</t>
  </si>
  <si>
    <t>пач. картон. 20</t>
  </si>
  <si>
    <t>Поступление товаров АБ00-000614 от 23.10.2025 11:08:56</t>
  </si>
  <si>
    <t>Калия хлорид, конц. для р-ра д/инф. 40 мг/мл, 200 мл, N 28 Дальхимфарм</t>
  </si>
  <si>
    <t>Поступление товаров АБ00-000598 от 20.10.2025 13:54:40</t>
  </si>
  <si>
    <t>20525 до 31.05.28</t>
  </si>
  <si>
    <t>ящ. картон. 28</t>
  </si>
  <si>
    <t>Поступление товаров АБ00-000011 от 18.02.2026 12:21:42</t>
  </si>
  <si>
    <t>Поступление товаров АБ00-000058 от 18.03.2026 12:08:49</t>
  </si>
  <si>
    <t>71125 до 30.11.28</t>
  </si>
  <si>
    <t>Поступление товаров АБ00-000063 от 19.03.2026 12:08:55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</si>
</sst>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00"/>
    <numFmt numFmtId="165" formatCode="#,##0.0000\ _₽"/>
    <numFmt numFmtId="166" formatCode="#,##0.000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8" fillId="0" borderId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3" fillId="0" borderId="0"/>
    <xf numFmtId="0" fontId="14" fillId="0" borderId="0"/>
  </cellStyleXfs>
  <cellXfs count="67">
    <xf numFmtId="0" fontId="0" fillId="0" borderId="0" xfId="0"/>
    <xf numFmtId="4" fontId="0" fillId="0" borderId="0" xfId="0" applyNumberFormat="1"/>
    <xf numFmtId="4" fontId="6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" fontId="17" fillId="2" borderId="0" xfId="1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12"/>
    <xf numFmtId="0" fontId="2" fillId="3" borderId="3" xfId="12" applyNumberFormat="1" applyFont="1" applyFill="1" applyBorder="1" applyAlignment="1">
      <alignment vertical="top" wrapText="1"/>
    </xf>
    <xf numFmtId="0" fontId="2" fillId="3" borderId="4" xfId="12" applyNumberFormat="1" applyFont="1" applyFill="1" applyBorder="1" applyAlignment="1">
      <alignment vertical="top" wrapText="1"/>
    </xf>
    <xf numFmtId="0" fontId="2" fillId="3" borderId="5" xfId="12" applyNumberFormat="1" applyFont="1" applyFill="1" applyBorder="1" applyAlignment="1">
      <alignment vertical="top" wrapText="1"/>
    </xf>
    <xf numFmtId="0" fontId="2" fillId="3" borderId="4" xfId="12" applyNumberFormat="1" applyFont="1" applyFill="1" applyBorder="1" applyAlignment="1">
      <alignment vertical="top" wrapText="1"/>
    </xf>
    <xf numFmtId="0" fontId="2" fillId="3" borderId="6" xfId="12" applyNumberFormat="1" applyFont="1" applyFill="1" applyBorder="1" applyAlignment="1">
      <alignment vertical="top" wrapText="1"/>
    </xf>
    <xf numFmtId="0" fontId="20" fillId="4" borderId="3" xfId="12" applyNumberFormat="1" applyFont="1" applyFill="1" applyBorder="1" applyAlignment="1">
      <alignment vertical="top"/>
    </xf>
    <xf numFmtId="0" fontId="14" fillId="0" borderId="3" xfId="12" applyNumberFormat="1" applyFont="1" applyBorder="1" applyAlignment="1">
      <alignment vertical="top" wrapText="1" indent="2"/>
    </xf>
    <xf numFmtId="0" fontId="14" fillId="0" borderId="3" xfId="12" applyNumberFormat="1" applyFont="1" applyBorder="1" applyAlignment="1">
      <alignment vertical="top" wrapText="1"/>
    </xf>
    <xf numFmtId="164" fontId="14" fillId="0" borderId="3" xfId="12" applyNumberFormat="1" applyFont="1" applyBorder="1" applyAlignment="1">
      <alignment horizontal="right" vertical="top" wrapText="1"/>
    </xf>
    <xf numFmtId="0" fontId="14" fillId="0" borderId="3" xfId="12" applyNumberFormat="1" applyFont="1" applyBorder="1" applyAlignment="1">
      <alignment vertical="top" wrapText="1"/>
    </xf>
    <xf numFmtId="164" fontId="0" fillId="0" borderId="0" xfId="0" applyNumberFormat="1"/>
    <xf numFmtId="0" fontId="14" fillId="0" borderId="0" xfId="12" applyNumberFormat="1" applyFont="1" applyFill="1" applyBorder="1" applyAlignment="1">
      <alignment vertical="top" wrapText="1"/>
    </xf>
    <xf numFmtId="2" fontId="14" fillId="0" borderId="3" xfId="12" applyNumberFormat="1" applyFont="1" applyBorder="1" applyAlignment="1">
      <alignment horizontal="right" vertical="top" wrapText="1"/>
    </xf>
    <xf numFmtId="4" fontId="14" fillId="0" borderId="3" xfId="12" applyNumberFormat="1" applyFont="1" applyBorder="1" applyAlignment="1">
      <alignment horizontal="right" vertical="top"/>
    </xf>
    <xf numFmtId="4" fontId="14" fillId="0" borderId="3" xfId="12" applyNumberFormat="1" applyFont="1" applyBorder="1" applyAlignment="1">
      <alignment horizontal="right" vertical="top" wrapText="1"/>
    </xf>
    <xf numFmtId="0" fontId="19" fillId="0" borderId="0" xfId="0" applyFont="1"/>
    <xf numFmtId="165" fontId="6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2" fillId="3" borderId="7" xfId="12" applyNumberFormat="1" applyFont="1" applyFill="1" applyBorder="1" applyAlignment="1">
      <alignment vertical="top" wrapText="1"/>
    </xf>
    <xf numFmtId="166" fontId="14" fillId="0" borderId="3" xfId="12" applyNumberFormat="1" applyFont="1" applyBorder="1" applyAlignment="1">
      <alignment horizontal="right" vertical="top" wrapText="1"/>
    </xf>
    <xf numFmtId="0" fontId="6" fillId="5" borderId="1" xfId="0" applyFont="1" applyFill="1" applyBorder="1" applyAlignment="1">
      <alignment horizontal="center" vertical="center"/>
    </xf>
    <xf numFmtId="165" fontId="6" fillId="5" borderId="1" xfId="7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5" fontId="6" fillId="6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center" vertical="center" wrapText="1"/>
    </xf>
    <xf numFmtId="4" fontId="17" fillId="2" borderId="0" xfId="1" applyNumberFormat="1" applyFont="1" applyFill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8" fillId="2" borderId="0" xfId="1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4" fillId="0" borderId="3" xfId="12" applyNumberFormat="1" applyFont="1" applyBorder="1" applyAlignment="1">
      <alignment vertical="top" wrapText="1"/>
    </xf>
    <xf numFmtId="2" fontId="14" fillId="0" borderId="3" xfId="12" applyNumberFormat="1" applyFont="1" applyBorder="1" applyAlignment="1">
      <alignment horizontal="right" vertical="top" wrapText="1"/>
    </xf>
    <xf numFmtId="4" fontId="14" fillId="0" borderId="3" xfId="12" applyNumberFormat="1" applyFont="1" applyBorder="1" applyAlignment="1">
      <alignment horizontal="right" vertical="top" wrapText="1"/>
    </xf>
    <xf numFmtId="0" fontId="20" fillId="4" borderId="3" xfId="12" applyNumberFormat="1" applyFont="1" applyFill="1" applyBorder="1" applyAlignment="1">
      <alignment vertical="top" wrapText="1"/>
    </xf>
    <xf numFmtId="0" fontId="2" fillId="3" borderId="3" xfId="12" applyNumberFormat="1" applyFont="1" applyFill="1" applyBorder="1" applyAlignment="1">
      <alignment vertical="top" wrapText="1"/>
    </xf>
    <xf numFmtId="0" fontId="2" fillId="3" borderId="4" xfId="12" applyNumberFormat="1" applyFont="1" applyFill="1" applyBorder="1" applyAlignment="1">
      <alignment vertical="top" wrapText="1"/>
    </xf>
  </cellXfs>
  <cellStyles count="13">
    <cellStyle name="Обычный" xfId="0" builtinId="0"/>
    <cellStyle name="Обычный 10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7 2" xfId="10"/>
    <cellStyle name="Обычный 8" xfId="8"/>
    <cellStyle name="Обычный 9" xfId="9"/>
    <cellStyle name="Обычный_Лист2" xfId="12"/>
    <cellStyle name="Финансовый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"/>
  <sheetViews>
    <sheetView tabSelected="1" zoomScale="87" zoomScaleNormal="87" workbookViewId="0">
      <selection activeCell="C13" sqref="C13"/>
    </sheetView>
  </sheetViews>
  <sheetFormatPr defaultRowHeight="12.75" x14ac:dyDescent="0.25"/>
  <cols>
    <col min="1" max="1" width="3.42578125" style="10" customWidth="1"/>
    <col min="2" max="2" width="24.85546875" style="10" customWidth="1"/>
    <col min="3" max="3" width="28.85546875" style="10" customWidth="1"/>
    <col min="4" max="4" width="8.28515625" style="10" customWidth="1"/>
    <col min="5" max="5" width="9" style="10" customWidth="1"/>
    <col min="6" max="6" width="10.7109375" style="10" customWidth="1"/>
    <col min="7" max="7" width="8.5703125" style="10" customWidth="1"/>
    <col min="8" max="8" width="11.5703125" style="10" customWidth="1"/>
    <col min="9" max="9" width="9.140625" style="10"/>
    <col min="10" max="10" width="11" style="10" customWidth="1"/>
    <col min="11" max="11" width="9.140625" style="10"/>
    <col min="12" max="12" width="11.42578125" style="10" customWidth="1"/>
    <col min="13" max="13" width="9.140625" style="10"/>
    <col min="14" max="14" width="11.140625" style="10" customWidth="1"/>
    <col min="15" max="15" width="12.140625" style="10" customWidth="1"/>
    <col min="16" max="16" width="11.85546875" style="10" bestFit="1" customWidth="1"/>
    <col min="17" max="17" width="12.140625" style="10" customWidth="1"/>
    <col min="18" max="18" width="14" style="10" customWidth="1"/>
    <col min="19" max="19" width="16" style="10" customWidth="1"/>
    <col min="20" max="20" width="11.5703125" style="10" customWidth="1"/>
    <col min="21" max="21" width="10.5703125" style="10" customWidth="1"/>
    <col min="22" max="22" width="11" style="10" customWidth="1"/>
    <col min="23" max="23" width="10" style="10" customWidth="1"/>
    <col min="24" max="24" width="16.42578125" style="10" customWidth="1"/>
    <col min="25" max="25" width="12" style="46" customWidth="1"/>
    <col min="26" max="26" width="10.42578125" style="10" customWidth="1"/>
    <col min="27" max="27" width="9.140625" style="10" hidden="1" customWidth="1"/>
    <col min="28" max="28" width="12" style="10" hidden="1" customWidth="1"/>
    <col min="29" max="29" width="13.85546875" style="10" hidden="1" customWidth="1"/>
    <col min="30" max="30" width="10.5703125" style="10" hidden="1" customWidth="1"/>
    <col min="31" max="31" width="11.28515625" style="10" hidden="1" customWidth="1"/>
    <col min="32" max="32" width="14.85546875" style="10" hidden="1" customWidth="1"/>
    <col min="33" max="34" width="9.140625" style="10" hidden="1" customWidth="1"/>
    <col min="35" max="35" width="10.28515625" style="10" hidden="1" customWidth="1"/>
    <col min="36" max="16384" width="9.140625" style="10"/>
  </cols>
  <sheetData>
    <row r="1" spans="1:35" x14ac:dyDescent="0.25">
      <c r="A1" s="58" t="s">
        <v>32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AA1" s="8"/>
    </row>
    <row r="2" spans="1:35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AA2" s="8"/>
    </row>
    <row r="3" spans="1:35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AA3" s="8"/>
    </row>
    <row r="4" spans="1:35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AA4" s="8"/>
    </row>
    <row r="5" spans="1:35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AA5" s="9"/>
    </row>
    <row r="6" spans="1:35" ht="17.25" customHeight="1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35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35" s="11" customFormat="1" ht="107.25" customHeight="1" x14ac:dyDescent="0.25">
      <c r="A8" s="48" t="s">
        <v>0</v>
      </c>
      <c r="B8" s="48" t="s">
        <v>4</v>
      </c>
      <c r="C8" s="48" t="s">
        <v>1</v>
      </c>
      <c r="D8" s="48" t="s">
        <v>2</v>
      </c>
      <c r="E8" s="48" t="s">
        <v>3</v>
      </c>
      <c r="F8" s="53" t="s">
        <v>5</v>
      </c>
      <c r="G8" s="53"/>
      <c r="H8" s="53"/>
      <c r="I8" s="53"/>
      <c r="J8" s="53"/>
      <c r="K8" s="53"/>
      <c r="L8" s="53" t="s">
        <v>6</v>
      </c>
      <c r="M8" s="53"/>
      <c r="N8" s="53"/>
      <c r="O8" s="51" t="s">
        <v>7</v>
      </c>
      <c r="P8" s="52" t="s">
        <v>8</v>
      </c>
      <c r="Q8" s="53" t="s">
        <v>9</v>
      </c>
      <c r="R8" s="53"/>
      <c r="S8" s="53"/>
      <c r="T8" s="51" t="s">
        <v>10</v>
      </c>
      <c r="U8" s="48" t="s">
        <v>11</v>
      </c>
      <c r="V8" s="48" t="s">
        <v>12</v>
      </c>
      <c r="W8" s="48" t="s">
        <v>13</v>
      </c>
      <c r="X8" s="48" t="s">
        <v>14</v>
      </c>
      <c r="Y8" s="47"/>
    </row>
    <row r="9" spans="1:35" s="11" customFormat="1" ht="95.25" customHeight="1" x14ac:dyDescent="0.25">
      <c r="A9" s="48"/>
      <c r="B9" s="48"/>
      <c r="C9" s="48"/>
      <c r="D9" s="48"/>
      <c r="E9" s="48"/>
      <c r="F9" s="16" t="s">
        <v>15</v>
      </c>
      <c r="G9" s="16" t="s">
        <v>66</v>
      </c>
      <c r="H9" s="16" t="s">
        <v>15</v>
      </c>
      <c r="I9" s="16" t="s">
        <v>67</v>
      </c>
      <c r="J9" s="16" t="s">
        <v>15</v>
      </c>
      <c r="K9" s="16" t="s">
        <v>68</v>
      </c>
      <c r="L9" s="16" t="s">
        <v>16</v>
      </c>
      <c r="M9" s="16" t="s">
        <v>17</v>
      </c>
      <c r="N9" s="16" t="s">
        <v>18</v>
      </c>
      <c r="O9" s="51"/>
      <c r="P9" s="52"/>
      <c r="Q9" s="16" t="s">
        <v>19</v>
      </c>
      <c r="R9" s="16" t="s">
        <v>20</v>
      </c>
      <c r="S9" s="16" t="s">
        <v>21</v>
      </c>
      <c r="T9" s="51"/>
      <c r="U9" s="48"/>
      <c r="V9" s="48"/>
      <c r="W9" s="48"/>
      <c r="X9" s="48"/>
      <c r="Y9" s="47"/>
      <c r="AA9" s="48" t="s">
        <v>27</v>
      </c>
      <c r="AB9" s="48"/>
      <c r="AC9" s="48"/>
      <c r="AD9" s="48" t="s">
        <v>26</v>
      </c>
      <c r="AE9" s="48"/>
      <c r="AF9" s="48"/>
      <c r="AG9" s="48" t="s">
        <v>28</v>
      </c>
      <c r="AH9" s="48"/>
      <c r="AI9" s="48"/>
    </row>
    <row r="10" spans="1:35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14">
        <v>6</v>
      </c>
      <c r="G10" s="14">
        <v>7</v>
      </c>
      <c r="H10" s="14">
        <v>8</v>
      </c>
      <c r="I10" s="14">
        <v>9</v>
      </c>
      <c r="J10" s="14">
        <v>10</v>
      </c>
      <c r="K10" s="14">
        <v>11</v>
      </c>
      <c r="L10" s="14">
        <v>12</v>
      </c>
      <c r="M10" s="14">
        <v>13</v>
      </c>
      <c r="N10" s="14">
        <v>14</v>
      </c>
      <c r="O10" s="41">
        <v>15</v>
      </c>
      <c r="P10" s="44">
        <v>16</v>
      </c>
      <c r="Q10" s="14">
        <v>17</v>
      </c>
      <c r="R10" s="14">
        <v>18</v>
      </c>
      <c r="S10" s="14">
        <v>19</v>
      </c>
      <c r="T10" s="41">
        <v>20</v>
      </c>
      <c r="U10" s="4">
        <v>21</v>
      </c>
      <c r="V10" s="4">
        <v>22</v>
      </c>
      <c r="W10" s="4">
        <v>23</v>
      </c>
      <c r="X10" s="4">
        <v>24</v>
      </c>
      <c r="AA10" s="4" t="s">
        <v>23</v>
      </c>
      <c r="AB10" s="4" t="s">
        <v>24</v>
      </c>
      <c r="AC10" s="4" t="s">
        <v>25</v>
      </c>
      <c r="AD10" s="4" t="s">
        <v>23</v>
      </c>
      <c r="AE10" s="4" t="s">
        <v>24</v>
      </c>
      <c r="AF10" s="4" t="s">
        <v>25</v>
      </c>
      <c r="AG10" s="4" t="s">
        <v>23</v>
      </c>
      <c r="AH10" s="4" t="s">
        <v>24</v>
      </c>
      <c r="AI10" s="4" t="s">
        <v>25</v>
      </c>
    </row>
    <row r="11" spans="1:35" ht="25.5" x14ac:dyDescent="0.25">
      <c r="A11" s="4">
        <v>1</v>
      </c>
      <c r="B11" s="4" t="s">
        <v>36</v>
      </c>
      <c r="C11" s="17" t="s">
        <v>37</v>
      </c>
      <c r="D11" s="4" t="s">
        <v>33</v>
      </c>
      <c r="E11" s="5">
        <v>1250</v>
      </c>
      <c r="F11" s="35">
        <f>кп!G2</f>
        <v>14.2</v>
      </c>
      <c r="G11" s="14" t="s">
        <v>29</v>
      </c>
      <c r="H11" s="35">
        <f>кп!J2</f>
        <v>14.19</v>
      </c>
      <c r="I11" s="14" t="s">
        <v>31</v>
      </c>
      <c r="J11" s="35">
        <f>кп!M2</f>
        <v>14.2</v>
      </c>
      <c r="K11" s="14" t="s">
        <v>30</v>
      </c>
      <c r="L11" s="35">
        <f t="shared" ref="L11:L13" si="0">AVERAGE(F11,H11,J11)</f>
        <v>14.196666666666667</v>
      </c>
      <c r="M11" s="35">
        <f t="shared" ref="M11" si="1">STDEV(F11,H11,J11)</f>
        <v>5.7735026918961348E-3</v>
      </c>
      <c r="N11" s="35">
        <f t="shared" ref="N11" si="2">M11/L11*100</f>
        <v>4.0668016143903273E-2</v>
      </c>
      <c r="O11" s="42">
        <f t="shared" ref="O11" si="3">MIN(F11,H11,J11)</f>
        <v>14.19</v>
      </c>
      <c r="P11" s="45">
        <v>3.2</v>
      </c>
      <c r="Q11" s="35">
        <f>S11/R11</f>
        <v>19.877548936170214</v>
      </c>
      <c r="R11" s="35">
        <v>47000</v>
      </c>
      <c r="S11" s="35">
        <v>934244.8</v>
      </c>
      <c r="T11" s="43">
        <f t="shared" ref="T11:T13" si="4">Q11</f>
        <v>19.877548936170214</v>
      </c>
      <c r="U11" s="38">
        <f t="shared" ref="U11:U13" si="5">O11</f>
        <v>14.19</v>
      </c>
      <c r="V11" s="38">
        <f t="shared" ref="V11" si="6">U11*1.1</f>
        <v>15.609</v>
      </c>
      <c r="W11" s="38">
        <v>17.170000000000002</v>
      </c>
      <c r="X11" s="38">
        <f>Y11*E11</f>
        <v>21462.500000000004</v>
      </c>
      <c r="Y11" s="46">
        <v>17.170000000000002</v>
      </c>
      <c r="AA11" s="4"/>
      <c r="AB11" s="4"/>
      <c r="AC11" s="4"/>
      <c r="AD11" s="4"/>
      <c r="AE11" s="4"/>
      <c r="AF11" s="4"/>
      <c r="AG11" s="4"/>
      <c r="AH11" s="4"/>
      <c r="AI11" s="4"/>
    </row>
    <row r="12" spans="1:35" s="15" customFormat="1" ht="25.5" x14ac:dyDescent="0.25">
      <c r="A12" s="4">
        <v>2</v>
      </c>
      <c r="B12" s="4" t="s">
        <v>36</v>
      </c>
      <c r="C12" s="17" t="s">
        <v>37</v>
      </c>
      <c r="D12" s="4" t="s">
        <v>33</v>
      </c>
      <c r="E12" s="5">
        <v>2250</v>
      </c>
      <c r="F12" s="35">
        <f>кп!G3</f>
        <v>19.703599999999998</v>
      </c>
      <c r="G12" s="14" t="s">
        <v>29</v>
      </c>
      <c r="H12" s="35">
        <f>кп!J3</f>
        <v>19.686</v>
      </c>
      <c r="I12" s="14" t="s">
        <v>31</v>
      </c>
      <c r="J12" s="35">
        <f>кп!M3</f>
        <v>19.703599999999998</v>
      </c>
      <c r="K12" s="14" t="s">
        <v>30</v>
      </c>
      <c r="L12" s="35">
        <f t="shared" si="0"/>
        <v>19.697733333333332</v>
      </c>
      <c r="M12" s="35">
        <f t="shared" ref="M12:M13" si="7">STDEV(F12,H12,J12)</f>
        <v>1.0161364737736293E-2</v>
      </c>
      <c r="N12" s="35">
        <f t="shared" ref="N12:N13" si="8">M12/L12*100</f>
        <v>5.1586467162395816E-2</v>
      </c>
      <c r="O12" s="42">
        <f t="shared" ref="O12:O13" si="9">MIN(F12,H12,J12)</f>
        <v>19.686</v>
      </c>
      <c r="P12" s="45">
        <v>3.2</v>
      </c>
      <c r="Q12" s="35">
        <f t="shared" ref="Q12:Q13" si="10">S12/R12</f>
        <v>19.877548936170214</v>
      </c>
      <c r="R12" s="35">
        <v>47000</v>
      </c>
      <c r="S12" s="35">
        <v>934244.8</v>
      </c>
      <c r="T12" s="43">
        <f t="shared" si="4"/>
        <v>19.877548936170214</v>
      </c>
      <c r="U12" s="38">
        <f t="shared" si="5"/>
        <v>19.686</v>
      </c>
      <c r="V12" s="38">
        <f t="shared" ref="V12:V13" si="11">U12*1.1</f>
        <v>21.654600000000002</v>
      </c>
      <c r="W12" s="38">
        <v>23.82</v>
      </c>
      <c r="X12" s="38">
        <f t="shared" ref="X12:X13" si="12">Y12*E12</f>
        <v>53595</v>
      </c>
      <c r="Y12" s="46">
        <v>23.82</v>
      </c>
      <c r="AA12" s="36"/>
      <c r="AB12" s="37"/>
      <c r="AC12" s="36"/>
      <c r="AD12" s="36"/>
      <c r="AE12" s="36"/>
      <c r="AF12" s="36"/>
      <c r="AG12" s="36"/>
      <c r="AH12" s="36"/>
      <c r="AI12" s="36"/>
    </row>
    <row r="13" spans="1:35" s="15" customFormat="1" ht="38.25" x14ac:dyDescent="0.25">
      <c r="A13" s="4">
        <v>3</v>
      </c>
      <c r="B13" s="4" t="s">
        <v>64</v>
      </c>
      <c r="C13" s="17" t="s">
        <v>65</v>
      </c>
      <c r="D13" s="4" t="s">
        <v>35</v>
      </c>
      <c r="E13" s="5">
        <v>112000</v>
      </c>
      <c r="F13" s="35">
        <f>кп!G4</f>
        <v>0.51096607142857142</v>
      </c>
      <c r="G13" s="14" t="s">
        <v>29</v>
      </c>
      <c r="H13" s="35">
        <f>кп!J4</f>
        <v>0.50413214285714281</v>
      </c>
      <c r="I13" s="14" t="s">
        <v>31</v>
      </c>
      <c r="J13" s="35">
        <f>кп!M4</f>
        <v>0.51096607142857142</v>
      </c>
      <c r="K13" s="14" t="s">
        <v>30</v>
      </c>
      <c r="L13" s="35">
        <f t="shared" si="0"/>
        <v>0.50868809523809511</v>
      </c>
      <c r="M13" s="35">
        <f t="shared" si="7"/>
        <v>3.9455705003369861E-3</v>
      </c>
      <c r="N13" s="35">
        <f t="shared" si="8"/>
        <v>0.77563649263115408</v>
      </c>
      <c r="O13" s="42">
        <f t="shared" si="9"/>
        <v>0.50413214285714281</v>
      </c>
      <c r="P13" s="45">
        <v>0.27251999999999998</v>
      </c>
      <c r="Q13" s="35">
        <f t="shared" si="10"/>
        <v>0.52177094017094017</v>
      </c>
      <c r="R13" s="35">
        <v>280800</v>
      </c>
      <c r="S13" s="35">
        <v>146513.28</v>
      </c>
      <c r="T13" s="43">
        <f t="shared" si="4"/>
        <v>0.52177094017094017</v>
      </c>
      <c r="U13" s="38">
        <f t="shared" si="5"/>
        <v>0.50413214285714281</v>
      </c>
      <c r="V13" s="38">
        <f t="shared" si="11"/>
        <v>0.55454535714285713</v>
      </c>
      <c r="W13" s="38">
        <f t="shared" ref="W13" si="13">V13*1.1</f>
        <v>0.60999989285714284</v>
      </c>
      <c r="X13" s="38">
        <f t="shared" si="12"/>
        <v>68320</v>
      </c>
      <c r="Y13" s="46">
        <v>0.61</v>
      </c>
      <c r="AA13" s="36"/>
      <c r="AB13" s="37"/>
      <c r="AC13" s="36"/>
      <c r="AD13" s="36"/>
      <c r="AE13" s="36"/>
      <c r="AF13" s="36"/>
      <c r="AG13" s="36"/>
      <c r="AH13" s="36"/>
      <c r="AI13" s="36"/>
    </row>
    <row r="14" spans="1:35" ht="12.75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2">
        <f>SUM(X11:X13)</f>
        <v>143377.5</v>
      </c>
      <c r="Z14" s="7"/>
      <c r="AB14" s="6"/>
      <c r="AC14" s="7" t="e">
        <f>SUM(#REF!)</f>
        <v>#REF!</v>
      </c>
      <c r="AF14" s="7" t="e">
        <f>SUM(#REF!)</f>
        <v>#REF!</v>
      </c>
      <c r="AI14" s="7" t="e">
        <f>SUM(#REF!)</f>
        <v>#REF!</v>
      </c>
    </row>
    <row r="15" spans="1:35" ht="12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7"/>
      <c r="Z15" s="7"/>
      <c r="AB15" s="7"/>
      <c r="AC15" s="7"/>
      <c r="AF15" s="7"/>
      <c r="AI15" s="7"/>
    </row>
    <row r="16" spans="1:35" ht="12.75" customHeight="1" x14ac:dyDescent="0.25">
      <c r="A16" s="9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7"/>
      <c r="Z16" s="7"/>
      <c r="AB16" s="7"/>
      <c r="AC16" s="7"/>
      <c r="AF16" s="7"/>
      <c r="AI16" s="7"/>
    </row>
    <row r="17" spans="1:32" ht="12.75" customHeight="1" x14ac:dyDescent="0.25">
      <c r="A17" s="9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7"/>
      <c r="AF17" s="7"/>
    </row>
    <row r="18" spans="1:32" ht="28.5" customHeight="1" x14ac:dyDescent="0.25"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9"/>
      <c r="U18" s="9"/>
      <c r="V18" s="9"/>
      <c r="W18" s="9"/>
      <c r="X18" s="9"/>
    </row>
    <row r="19" spans="1:32" ht="15" customHeight="1" x14ac:dyDescent="0.25">
      <c r="B19" s="49" t="s">
        <v>22</v>
      </c>
      <c r="C19" s="49"/>
      <c r="D19" s="49"/>
      <c r="E19" s="49"/>
      <c r="F19" s="49"/>
      <c r="G19" s="49"/>
      <c r="H19" s="49"/>
      <c r="I19" s="12"/>
      <c r="J19" s="12"/>
      <c r="K19" s="12"/>
      <c r="L19" s="12"/>
      <c r="M19" s="12"/>
      <c r="X19" s="7"/>
      <c r="AC19" s="7"/>
    </row>
    <row r="20" spans="1:32" x14ac:dyDescent="0.25"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X20" s="7"/>
      <c r="AC20" s="7"/>
    </row>
    <row r="21" spans="1:32" x14ac:dyDescent="0.25"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X21" s="7"/>
      <c r="AC21" s="7"/>
    </row>
    <row r="22" spans="1:32" ht="15" customHeight="1" x14ac:dyDescent="0.25">
      <c r="B22" s="50" t="s">
        <v>34</v>
      </c>
      <c r="C22" s="50"/>
      <c r="D22" s="50"/>
      <c r="E22" s="50"/>
      <c r="F22" s="50"/>
      <c r="G22" s="50"/>
      <c r="H22" s="50"/>
      <c r="I22" s="50"/>
      <c r="J22" s="50"/>
      <c r="K22" s="13"/>
      <c r="L22" s="13"/>
      <c r="M22" s="12"/>
    </row>
    <row r="23" spans="1:32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13"/>
      <c r="L23" s="13"/>
      <c r="M23" s="12"/>
    </row>
  </sheetData>
  <mergeCells count="28">
    <mergeCell ref="B21:Q21"/>
    <mergeCell ref="B16:K16"/>
    <mergeCell ref="B17:K17"/>
    <mergeCell ref="A1:M6"/>
    <mergeCell ref="A7:K7"/>
    <mergeCell ref="A8:A9"/>
    <mergeCell ref="B8:B9"/>
    <mergeCell ref="C8:C9"/>
    <mergeCell ref="D8:D9"/>
    <mergeCell ref="E8:E9"/>
    <mergeCell ref="F8:K8"/>
    <mergeCell ref="L8:N8"/>
    <mergeCell ref="AG9:AI9"/>
    <mergeCell ref="AD9:AF9"/>
    <mergeCell ref="AA9:AC9"/>
    <mergeCell ref="B19:H19"/>
    <mergeCell ref="B22:J23"/>
    <mergeCell ref="W8:W9"/>
    <mergeCell ref="X8:X9"/>
    <mergeCell ref="O8:O9"/>
    <mergeCell ref="P8:P9"/>
    <mergeCell ref="Q8:S8"/>
    <mergeCell ref="T8:T9"/>
    <mergeCell ref="U8:U9"/>
    <mergeCell ref="V8:V9"/>
    <mergeCell ref="A14:W14"/>
    <mergeCell ref="B18:S18"/>
    <mergeCell ref="B20:Q20"/>
  </mergeCells>
  <phoneticPr fontId="4" type="noConversion"/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48"/>
  <sheetViews>
    <sheetView workbookViewId="0">
      <selection activeCell="K8" sqref="K8:M8"/>
    </sheetView>
  </sheetViews>
  <sheetFormatPr defaultRowHeight="15" x14ac:dyDescent="0.25"/>
  <cols>
    <col min="2" max="2" width="14" customWidth="1"/>
    <col min="5" max="5" width="10.5703125" bestFit="1" customWidth="1"/>
    <col min="13" max="13" width="10" bestFit="1" customWidth="1"/>
    <col min="15" max="15" width="10" bestFit="1" customWidth="1"/>
  </cols>
  <sheetData>
    <row r="4" spans="2:16" x14ac:dyDescent="0.25">
      <c r="B4" s="65" t="s">
        <v>38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2:16" ht="25.5" x14ac:dyDescent="0.25">
      <c r="B5" s="65" t="s">
        <v>39</v>
      </c>
      <c r="C5" s="65"/>
      <c r="D5" s="65"/>
      <c r="E5" s="65"/>
      <c r="F5" s="65"/>
      <c r="G5" s="18"/>
      <c r="H5" s="19" t="s">
        <v>40</v>
      </c>
      <c r="I5" s="20" t="s">
        <v>15</v>
      </c>
      <c r="J5" s="21"/>
      <c r="K5" s="66" t="s">
        <v>41</v>
      </c>
      <c r="L5" s="66"/>
      <c r="M5" s="21"/>
      <c r="N5" s="19" t="s">
        <v>42</v>
      </c>
      <c r="O5" s="23"/>
      <c r="P5" s="18"/>
    </row>
    <row r="6" spans="2:16" x14ac:dyDescent="0.25">
      <c r="B6" s="64" t="s">
        <v>43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24"/>
      <c r="P6" s="18"/>
    </row>
    <row r="7" spans="2:16" ht="101.25" x14ac:dyDescent="0.25">
      <c r="B7" s="25" t="s">
        <v>44</v>
      </c>
      <c r="C7" s="26" t="s">
        <v>43</v>
      </c>
      <c r="D7" s="26" t="s">
        <v>45</v>
      </c>
      <c r="E7" s="27">
        <v>100</v>
      </c>
      <c r="F7" s="61" t="s">
        <v>46</v>
      </c>
      <c r="G7" s="61"/>
      <c r="H7" s="27">
        <v>50</v>
      </c>
      <c r="I7" s="63">
        <v>1093</v>
      </c>
      <c r="J7" s="63"/>
      <c r="K7" s="63">
        <v>109300</v>
      </c>
      <c r="L7" s="63"/>
      <c r="M7" s="63"/>
      <c r="N7" s="31">
        <v>985.22</v>
      </c>
      <c r="O7" s="32">
        <v>98522</v>
      </c>
      <c r="P7" s="18"/>
    </row>
    <row r="8" spans="2:16" ht="101.25" x14ac:dyDescent="0.25">
      <c r="B8" s="25" t="s">
        <v>47</v>
      </c>
      <c r="C8" s="26" t="s">
        <v>43</v>
      </c>
      <c r="D8" s="26" t="s">
        <v>45</v>
      </c>
      <c r="E8" s="27">
        <v>40</v>
      </c>
      <c r="F8" s="61" t="s">
        <v>46</v>
      </c>
      <c r="G8" s="61"/>
      <c r="H8" s="27">
        <v>50</v>
      </c>
      <c r="I8" s="63">
        <v>1164.5</v>
      </c>
      <c r="J8" s="63"/>
      <c r="K8" s="63">
        <v>46580</v>
      </c>
      <c r="L8" s="63"/>
      <c r="M8" s="63"/>
      <c r="N8" s="31">
        <v>985.22</v>
      </c>
      <c r="O8" s="32">
        <v>39408.800000000003</v>
      </c>
      <c r="P8" s="18"/>
    </row>
    <row r="9" spans="2:16" ht="101.25" x14ac:dyDescent="0.25">
      <c r="B9" s="25" t="s">
        <v>48</v>
      </c>
      <c r="C9" s="26" t="s">
        <v>43</v>
      </c>
      <c r="D9" s="26" t="s">
        <v>49</v>
      </c>
      <c r="E9" s="27">
        <v>100</v>
      </c>
      <c r="F9" s="61" t="s">
        <v>46</v>
      </c>
      <c r="G9" s="61"/>
      <c r="H9" s="27">
        <v>50</v>
      </c>
      <c r="I9" s="62">
        <v>840.01</v>
      </c>
      <c r="J9" s="62"/>
      <c r="K9" s="63">
        <v>84001</v>
      </c>
      <c r="L9" s="63"/>
      <c r="M9" s="63"/>
      <c r="N9" s="31">
        <v>985.22</v>
      </c>
      <c r="O9" s="32">
        <v>98522</v>
      </c>
      <c r="P9" s="18"/>
    </row>
    <row r="10" spans="2:16" ht="101.25" x14ac:dyDescent="0.25">
      <c r="B10" s="25" t="s">
        <v>50</v>
      </c>
      <c r="C10" s="26" t="s">
        <v>43</v>
      </c>
      <c r="D10" s="26" t="s">
        <v>51</v>
      </c>
      <c r="E10" s="27">
        <v>100</v>
      </c>
      <c r="F10" s="61" t="s">
        <v>46</v>
      </c>
      <c r="G10" s="61"/>
      <c r="H10" s="27">
        <v>50</v>
      </c>
      <c r="I10" s="62">
        <v>840.01</v>
      </c>
      <c r="J10" s="62"/>
      <c r="K10" s="63">
        <v>84001</v>
      </c>
      <c r="L10" s="63"/>
      <c r="M10" s="63"/>
      <c r="N10" s="31">
        <v>985.22</v>
      </c>
      <c r="O10" s="32">
        <v>98522</v>
      </c>
      <c r="P10" s="18"/>
    </row>
    <row r="11" spans="2:16" x14ac:dyDescent="0.25">
      <c r="B11" s="25"/>
      <c r="C11" s="26"/>
      <c r="D11" s="26"/>
      <c r="E11" s="27">
        <f>SUM(E7:E10)</f>
        <v>340</v>
      </c>
      <c r="F11" s="26"/>
      <c r="G11" s="26"/>
      <c r="H11" s="27"/>
      <c r="I11" s="31"/>
      <c r="J11" s="31"/>
      <c r="K11" s="33"/>
      <c r="L11" s="33"/>
      <c r="M11" s="33">
        <f>SUM(K7:M10)</f>
        <v>323882</v>
      </c>
      <c r="N11" s="31"/>
      <c r="O11" s="32">
        <f>SUM(O7:O10)</f>
        <v>334974.8</v>
      </c>
      <c r="P11" s="18"/>
    </row>
    <row r="12" spans="2:16" x14ac:dyDescent="0.25">
      <c r="B12" s="25"/>
      <c r="C12" s="26"/>
      <c r="D12" s="26" t="s">
        <v>33</v>
      </c>
      <c r="E12" s="27">
        <f>E11*50</f>
        <v>17000</v>
      </c>
      <c r="F12" s="26"/>
      <c r="G12" s="26"/>
      <c r="H12" s="27"/>
      <c r="I12" s="31"/>
      <c r="J12" s="31"/>
      <c r="K12" s="33"/>
      <c r="L12" s="33"/>
      <c r="M12" s="33"/>
      <c r="N12" s="31"/>
      <c r="O12" s="32"/>
      <c r="P12" s="18"/>
    </row>
    <row r="13" spans="2:16" x14ac:dyDescent="0.25">
      <c r="B13" s="64" t="s">
        <v>52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24"/>
      <c r="P13" s="18"/>
    </row>
    <row r="14" spans="2:16" ht="101.25" x14ac:dyDescent="0.25">
      <c r="B14" s="25" t="s">
        <v>53</v>
      </c>
      <c r="C14" s="26" t="s">
        <v>52</v>
      </c>
      <c r="D14" s="26" t="s">
        <v>54</v>
      </c>
      <c r="E14" s="27">
        <v>20</v>
      </c>
      <c r="F14" s="61" t="s">
        <v>55</v>
      </c>
      <c r="G14" s="61"/>
      <c r="H14" s="27">
        <v>500</v>
      </c>
      <c r="I14" s="63">
        <v>11563.89</v>
      </c>
      <c r="J14" s="63"/>
      <c r="K14" s="63">
        <v>231277.8</v>
      </c>
      <c r="L14" s="63"/>
      <c r="M14" s="63"/>
      <c r="N14" s="33">
        <v>9557</v>
      </c>
      <c r="O14" s="32">
        <v>191140</v>
      </c>
      <c r="P14" s="18"/>
    </row>
    <row r="15" spans="2:16" x14ac:dyDescent="0.25">
      <c r="B15" s="25"/>
      <c r="C15" s="26"/>
      <c r="D15" s="26"/>
      <c r="E15" s="27">
        <f>SUM(E14)</f>
        <v>20</v>
      </c>
      <c r="F15" s="26"/>
      <c r="G15" s="26"/>
      <c r="H15" s="27"/>
      <c r="I15" s="33"/>
      <c r="J15" s="33"/>
      <c r="K15" s="33"/>
      <c r="L15" s="33"/>
      <c r="M15" s="33">
        <f>SUM(K14)</f>
        <v>231277.8</v>
      </c>
      <c r="N15" s="33"/>
      <c r="O15" s="32">
        <f>SUM(O14)</f>
        <v>191140</v>
      </c>
      <c r="P15" s="18"/>
    </row>
    <row r="16" spans="2:16" x14ac:dyDescent="0.25">
      <c r="B16" s="25"/>
      <c r="C16" s="26"/>
      <c r="D16" s="26" t="s">
        <v>33</v>
      </c>
      <c r="E16" s="27">
        <f>E15*50*10</f>
        <v>10000</v>
      </c>
      <c r="F16" s="26"/>
      <c r="G16" s="26"/>
      <c r="H16" s="27"/>
      <c r="I16" s="33"/>
      <c r="J16" s="33"/>
      <c r="K16" s="33"/>
      <c r="L16" s="33"/>
      <c r="M16" s="33"/>
      <c r="N16" s="33"/>
      <c r="O16" s="32"/>
      <c r="P16" s="18"/>
    </row>
    <row r="17" spans="2:16" x14ac:dyDescent="0.25">
      <c r="B17" s="64" t="s">
        <v>56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24"/>
      <c r="P17" s="18"/>
    </row>
    <row r="18" spans="2:16" ht="78.75" x14ac:dyDescent="0.25">
      <c r="B18" s="25" t="s">
        <v>57</v>
      </c>
      <c r="C18" s="26" t="s">
        <v>56</v>
      </c>
      <c r="D18" s="26" t="s">
        <v>58</v>
      </c>
      <c r="E18" s="27">
        <v>200</v>
      </c>
      <c r="F18" s="61" t="s">
        <v>46</v>
      </c>
      <c r="G18" s="61"/>
      <c r="H18" s="27">
        <v>50</v>
      </c>
      <c r="I18" s="63">
        <v>1368</v>
      </c>
      <c r="J18" s="63"/>
      <c r="K18" s="63">
        <v>273600</v>
      </c>
      <c r="L18" s="63"/>
      <c r="M18" s="63"/>
      <c r="N18" s="33">
        <v>1131.56</v>
      </c>
      <c r="O18" s="32">
        <v>226312</v>
      </c>
      <c r="P18" s="18"/>
    </row>
    <row r="19" spans="2:16" ht="78.75" x14ac:dyDescent="0.25">
      <c r="B19" s="25" t="s">
        <v>59</v>
      </c>
      <c r="C19" s="26" t="s">
        <v>56</v>
      </c>
      <c r="D19" s="26" t="s">
        <v>60</v>
      </c>
      <c r="E19" s="27">
        <v>100</v>
      </c>
      <c r="F19" s="61" t="s">
        <v>46</v>
      </c>
      <c r="G19" s="61"/>
      <c r="H19" s="27">
        <v>50</v>
      </c>
      <c r="I19" s="62">
        <v>804.6</v>
      </c>
      <c r="J19" s="62"/>
      <c r="K19" s="63">
        <v>80460</v>
      </c>
      <c r="L19" s="63"/>
      <c r="M19" s="63"/>
      <c r="N19" s="31">
        <v>909.09</v>
      </c>
      <c r="O19" s="32">
        <v>90909</v>
      </c>
      <c r="P19" s="18"/>
    </row>
    <row r="20" spans="2:16" ht="78.75" x14ac:dyDescent="0.25">
      <c r="B20" s="25" t="s">
        <v>61</v>
      </c>
      <c r="C20" s="26" t="s">
        <v>56</v>
      </c>
      <c r="D20" s="26" t="s">
        <v>60</v>
      </c>
      <c r="E20" s="27">
        <v>100</v>
      </c>
      <c r="F20" s="61" t="s">
        <v>46</v>
      </c>
      <c r="G20" s="61"/>
      <c r="H20" s="27">
        <v>50</v>
      </c>
      <c r="I20" s="62">
        <v>804.6</v>
      </c>
      <c r="J20" s="62"/>
      <c r="K20" s="63">
        <v>80460</v>
      </c>
      <c r="L20" s="63"/>
      <c r="M20" s="63"/>
      <c r="N20" s="31">
        <v>909.09</v>
      </c>
      <c r="O20" s="32">
        <v>90909</v>
      </c>
      <c r="P20" s="18"/>
    </row>
    <row r="21" spans="2:16" x14ac:dyDescent="0.25">
      <c r="E21" s="29">
        <f>SUM(E18:E20)</f>
        <v>400</v>
      </c>
      <c r="J21" s="1"/>
      <c r="M21" s="1">
        <f>SUM(K18:M20)</f>
        <v>434520</v>
      </c>
      <c r="O21" s="1">
        <f>SUM(O18:O20)</f>
        <v>408130</v>
      </c>
    </row>
    <row r="22" spans="2:16" x14ac:dyDescent="0.25">
      <c r="D22" s="30" t="s">
        <v>33</v>
      </c>
      <c r="E22">
        <f>E21*50</f>
        <v>20000</v>
      </c>
    </row>
    <row r="25" spans="2:16" x14ac:dyDescent="0.25">
      <c r="D25" t="s">
        <v>62</v>
      </c>
      <c r="E25" s="29">
        <f>E12+E16+E22</f>
        <v>47000</v>
      </c>
      <c r="M25" s="1">
        <f>M11+M15+M21</f>
        <v>989679.8</v>
      </c>
      <c r="O25" s="1">
        <f>O11+O15+O21</f>
        <v>934244.8</v>
      </c>
    </row>
    <row r="26" spans="2:16" x14ac:dyDescent="0.25">
      <c r="K26" t="s">
        <v>63</v>
      </c>
      <c r="M26">
        <f>M25/E25</f>
        <v>21.057017021276597</v>
      </c>
      <c r="O26" s="34">
        <f>O25/E25</f>
        <v>19.877548936170214</v>
      </c>
    </row>
    <row r="30" spans="2:16" x14ac:dyDescent="0.25">
      <c r="B30" s="65" t="s">
        <v>38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2:16" ht="25.5" x14ac:dyDescent="0.25">
      <c r="B31" s="65" t="s">
        <v>39</v>
      </c>
      <c r="C31" s="65"/>
      <c r="D31" s="65"/>
      <c r="E31" s="65"/>
      <c r="F31" s="65"/>
      <c r="G31" s="18"/>
      <c r="H31" s="19" t="s">
        <v>40</v>
      </c>
      <c r="I31" s="22" t="s">
        <v>15</v>
      </c>
      <c r="J31" s="39"/>
      <c r="K31" s="21"/>
      <c r="L31" s="22" t="s">
        <v>41</v>
      </c>
      <c r="M31" s="21"/>
      <c r="N31" s="19" t="s">
        <v>42</v>
      </c>
      <c r="O31" s="23"/>
      <c r="P31" s="18"/>
    </row>
    <row r="32" spans="2:16" x14ac:dyDescent="0.25">
      <c r="B32" s="64" t="s">
        <v>69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24"/>
      <c r="P32" s="18"/>
    </row>
    <row r="33" spans="2:16" ht="101.25" x14ac:dyDescent="0.25">
      <c r="B33" s="25" t="s">
        <v>70</v>
      </c>
      <c r="C33" s="28" t="s">
        <v>69</v>
      </c>
      <c r="D33" s="28" t="s">
        <v>71</v>
      </c>
      <c r="E33" s="27">
        <v>11</v>
      </c>
      <c r="F33" s="61" t="s">
        <v>72</v>
      </c>
      <c r="G33" s="61"/>
      <c r="H33" s="40">
        <v>4000</v>
      </c>
      <c r="I33" s="63">
        <v>2280</v>
      </c>
      <c r="J33" s="63"/>
      <c r="K33" s="63"/>
      <c r="L33" s="63">
        <v>25080</v>
      </c>
      <c r="M33" s="63"/>
      <c r="N33" s="33">
        <v>2198.7800000000002</v>
      </c>
      <c r="O33" s="32">
        <v>24186.58</v>
      </c>
      <c r="P33" s="18"/>
    </row>
    <row r="34" spans="2:16" ht="101.25" x14ac:dyDescent="0.25">
      <c r="B34" s="25" t="s">
        <v>73</v>
      </c>
      <c r="C34" s="28" t="s">
        <v>69</v>
      </c>
      <c r="D34" s="28" t="s">
        <v>71</v>
      </c>
      <c r="E34" s="27">
        <v>20</v>
      </c>
      <c r="F34" s="61" t="s">
        <v>72</v>
      </c>
      <c r="G34" s="61"/>
      <c r="H34" s="40">
        <v>4000</v>
      </c>
      <c r="I34" s="63">
        <v>2280</v>
      </c>
      <c r="J34" s="63"/>
      <c r="K34" s="63"/>
      <c r="L34" s="63">
        <v>45600</v>
      </c>
      <c r="M34" s="63"/>
      <c r="N34" s="33">
        <v>2198.7800000000002</v>
      </c>
      <c r="O34" s="32">
        <v>43975.6</v>
      </c>
      <c r="P34" s="18"/>
    </row>
    <row r="35" spans="2:16" x14ac:dyDescent="0.25">
      <c r="B35" s="25"/>
      <c r="C35" s="28"/>
      <c r="D35" s="28"/>
      <c r="E35" s="27">
        <f>SUM(E33:E34)</f>
        <v>31</v>
      </c>
      <c r="F35" s="28"/>
      <c r="G35" s="28"/>
      <c r="H35" s="40"/>
      <c r="I35" s="33"/>
      <c r="J35" s="33"/>
      <c r="K35" s="33"/>
      <c r="L35" s="33"/>
      <c r="M35" s="33">
        <f>SUM(L33:M34)</f>
        <v>70680</v>
      </c>
      <c r="N35" s="33"/>
      <c r="O35" s="32">
        <f>SUM(O33:O34)</f>
        <v>68162.179999999993</v>
      </c>
      <c r="P35" s="18"/>
    </row>
    <row r="36" spans="2:16" x14ac:dyDescent="0.25">
      <c r="B36" s="25"/>
      <c r="C36" s="28"/>
      <c r="D36" s="28" t="s">
        <v>35</v>
      </c>
      <c r="E36" s="27">
        <f>E35*20*200</f>
        <v>124000</v>
      </c>
      <c r="F36" s="28"/>
      <c r="G36" s="28"/>
      <c r="H36" s="40"/>
      <c r="I36" s="33"/>
      <c r="J36" s="33"/>
      <c r="K36" s="33"/>
      <c r="L36" s="33"/>
      <c r="M36" s="33"/>
      <c r="N36" s="33"/>
      <c r="O36" s="32"/>
      <c r="P36" s="18"/>
    </row>
    <row r="37" spans="2:16" x14ac:dyDescent="0.25">
      <c r="B37" s="64" t="s">
        <v>74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24"/>
      <c r="P37" s="18"/>
    </row>
    <row r="38" spans="2:16" ht="101.25" x14ac:dyDescent="0.25">
      <c r="B38" s="25" t="s">
        <v>75</v>
      </c>
      <c r="C38" s="28" t="s">
        <v>74</v>
      </c>
      <c r="D38" s="28" t="s">
        <v>76</v>
      </c>
      <c r="E38" s="27">
        <v>10</v>
      </c>
      <c r="F38" s="61" t="s">
        <v>77</v>
      </c>
      <c r="G38" s="61"/>
      <c r="H38" s="40">
        <v>5600</v>
      </c>
      <c r="I38" s="63">
        <v>3304</v>
      </c>
      <c r="J38" s="63"/>
      <c r="K38" s="63"/>
      <c r="L38" s="63">
        <v>33040</v>
      </c>
      <c r="M38" s="63"/>
      <c r="N38" s="33">
        <v>2762.85</v>
      </c>
      <c r="O38" s="32">
        <v>27628.5</v>
      </c>
      <c r="P38" s="18"/>
    </row>
    <row r="39" spans="2:16" ht="101.25" x14ac:dyDescent="0.25">
      <c r="B39" s="25" t="s">
        <v>78</v>
      </c>
      <c r="C39" s="28" t="s">
        <v>74</v>
      </c>
      <c r="D39" s="28" t="s">
        <v>76</v>
      </c>
      <c r="E39" s="27">
        <v>8</v>
      </c>
      <c r="F39" s="61" t="s">
        <v>77</v>
      </c>
      <c r="G39" s="61"/>
      <c r="H39" s="40">
        <v>5600</v>
      </c>
      <c r="I39" s="63">
        <v>3304</v>
      </c>
      <c r="J39" s="63"/>
      <c r="K39" s="63"/>
      <c r="L39" s="63">
        <v>26432</v>
      </c>
      <c r="M39" s="63"/>
      <c r="N39" s="33">
        <v>2762.85</v>
      </c>
      <c r="O39" s="32">
        <v>22102.799999999999</v>
      </c>
      <c r="P39" s="18"/>
    </row>
    <row r="40" spans="2:16" ht="101.25" x14ac:dyDescent="0.25">
      <c r="B40" s="25" t="s">
        <v>79</v>
      </c>
      <c r="C40" s="28" t="s">
        <v>74</v>
      </c>
      <c r="D40" s="28" t="s">
        <v>80</v>
      </c>
      <c r="E40" s="27">
        <v>5</v>
      </c>
      <c r="F40" s="61" t="s">
        <v>77</v>
      </c>
      <c r="G40" s="61"/>
      <c r="H40" s="40">
        <v>5600</v>
      </c>
      <c r="I40" s="63">
        <v>3416</v>
      </c>
      <c r="J40" s="63"/>
      <c r="K40" s="63"/>
      <c r="L40" s="63">
        <v>17080</v>
      </c>
      <c r="M40" s="63"/>
      <c r="N40" s="33">
        <v>2861.98</v>
      </c>
      <c r="O40" s="32">
        <v>14309.9</v>
      </c>
      <c r="P40" s="18"/>
    </row>
    <row r="41" spans="2:16" ht="101.25" x14ac:dyDescent="0.25">
      <c r="B41" s="25" t="s">
        <v>81</v>
      </c>
      <c r="C41" s="28" t="s">
        <v>74</v>
      </c>
      <c r="D41" s="28" t="s">
        <v>80</v>
      </c>
      <c r="E41" s="27">
        <v>5</v>
      </c>
      <c r="F41" s="61" t="s">
        <v>77</v>
      </c>
      <c r="G41" s="61"/>
      <c r="H41" s="40">
        <v>5600</v>
      </c>
      <c r="I41" s="63">
        <v>3416</v>
      </c>
      <c r="J41" s="63"/>
      <c r="K41" s="63"/>
      <c r="L41" s="63">
        <v>17080</v>
      </c>
      <c r="M41" s="63"/>
      <c r="N41" s="33">
        <v>2861.98</v>
      </c>
      <c r="O41" s="32">
        <v>14309.9</v>
      </c>
      <c r="P41" s="18"/>
    </row>
    <row r="42" spans="2:16" x14ac:dyDescent="0.25">
      <c r="E42" s="29">
        <f>SUM(E38:E41)</f>
        <v>28</v>
      </c>
      <c r="M42" s="1">
        <f>SUM(L38:M41)</f>
        <v>93632</v>
      </c>
      <c r="O42" s="1">
        <f>SUM(O38:O41)</f>
        <v>78351.100000000006</v>
      </c>
    </row>
    <row r="43" spans="2:16" x14ac:dyDescent="0.25">
      <c r="D43" s="30" t="s">
        <v>35</v>
      </c>
      <c r="E43">
        <f>E42*200*28</f>
        <v>156800</v>
      </c>
    </row>
    <row r="46" spans="2:16" x14ac:dyDescent="0.25">
      <c r="C46" t="s">
        <v>62</v>
      </c>
      <c r="E46" s="29">
        <f>E36+E43</f>
        <v>280800</v>
      </c>
      <c r="M46" s="1">
        <f>M42+M35</f>
        <v>164312</v>
      </c>
      <c r="O46" s="1">
        <f>O42+O35</f>
        <v>146513.28</v>
      </c>
    </row>
    <row r="48" spans="2:16" x14ac:dyDescent="0.25">
      <c r="D48" t="s">
        <v>35</v>
      </c>
      <c r="M48">
        <f>M46/E46</f>
        <v>0.58515669515669511</v>
      </c>
      <c r="O48" s="34">
        <f>O46/E46</f>
        <v>0.52177094017094017</v>
      </c>
    </row>
  </sheetData>
  <mergeCells count="52">
    <mergeCell ref="F41:G41"/>
    <mergeCell ref="I41:K41"/>
    <mergeCell ref="L41:M41"/>
    <mergeCell ref="B30:P30"/>
    <mergeCell ref="B31:F31"/>
    <mergeCell ref="F39:G39"/>
    <mergeCell ref="I39:K39"/>
    <mergeCell ref="L39:M39"/>
    <mergeCell ref="F40:G40"/>
    <mergeCell ref="I40:K40"/>
    <mergeCell ref="L40:M40"/>
    <mergeCell ref="F34:G34"/>
    <mergeCell ref="I34:K34"/>
    <mergeCell ref="L34:M34"/>
    <mergeCell ref="B37:N37"/>
    <mergeCell ref="F38:G38"/>
    <mergeCell ref="K14:M14"/>
    <mergeCell ref="F8:G8"/>
    <mergeCell ref="I8:J8"/>
    <mergeCell ref="I38:K38"/>
    <mergeCell ref="L38:M38"/>
    <mergeCell ref="B32:N32"/>
    <mergeCell ref="F33:G33"/>
    <mergeCell ref="I33:K33"/>
    <mergeCell ref="L33:M33"/>
    <mergeCell ref="K8:M8"/>
    <mergeCell ref="F9:G9"/>
    <mergeCell ref="I9:J9"/>
    <mergeCell ref="K9:M9"/>
    <mergeCell ref="B4:P4"/>
    <mergeCell ref="B5:F5"/>
    <mergeCell ref="K5:L5"/>
    <mergeCell ref="B6:N6"/>
    <mergeCell ref="F7:G7"/>
    <mergeCell ref="I7:J7"/>
    <mergeCell ref="K7:M7"/>
    <mergeCell ref="F20:G20"/>
    <mergeCell ref="I20:J20"/>
    <mergeCell ref="K20:M20"/>
    <mergeCell ref="K10:M10"/>
    <mergeCell ref="K18:M18"/>
    <mergeCell ref="F19:G19"/>
    <mergeCell ref="I19:J19"/>
    <mergeCell ref="K19:M19"/>
    <mergeCell ref="B13:N13"/>
    <mergeCell ref="F10:G10"/>
    <mergeCell ref="I10:J10"/>
    <mergeCell ref="B17:N17"/>
    <mergeCell ref="F18:G18"/>
    <mergeCell ref="I18:J18"/>
    <mergeCell ref="F14:G14"/>
    <mergeCell ref="I14:J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M5"/>
  <sheetViews>
    <sheetView zoomScale="130" zoomScaleNormal="130" workbookViewId="0">
      <selection activeCell="D1" sqref="D1"/>
    </sheetView>
  </sheetViews>
  <sheetFormatPr defaultRowHeight="15" x14ac:dyDescent="0.25"/>
  <sheetData>
    <row r="1" spans="4:13" x14ac:dyDescent="0.25">
      <c r="D1">
        <v>1</v>
      </c>
      <c r="F1" s="3"/>
    </row>
    <row r="2" spans="4:13" x14ac:dyDescent="0.25">
      <c r="D2">
        <v>2</v>
      </c>
      <c r="E2">
        <v>50</v>
      </c>
      <c r="F2" s="3">
        <v>710</v>
      </c>
      <c r="G2">
        <f t="shared" ref="G2:G4" si="0">F2/E2</f>
        <v>14.2</v>
      </c>
      <c r="I2" s="1">
        <v>709.5</v>
      </c>
      <c r="J2">
        <f t="shared" ref="J2:J4" si="1">I2/E2</f>
        <v>14.19</v>
      </c>
      <c r="L2">
        <v>710</v>
      </c>
      <c r="M2">
        <f t="shared" ref="M2:M4" si="2">L2/E2</f>
        <v>14.2</v>
      </c>
    </row>
    <row r="3" spans="4:13" x14ac:dyDescent="0.25">
      <c r="D3">
        <v>3</v>
      </c>
      <c r="E3">
        <v>50</v>
      </c>
      <c r="F3" s="3">
        <v>985.18</v>
      </c>
      <c r="G3">
        <f t="shared" si="0"/>
        <v>19.703599999999998</v>
      </c>
      <c r="I3" s="1">
        <v>984.3</v>
      </c>
      <c r="J3">
        <f t="shared" si="1"/>
        <v>19.686</v>
      </c>
      <c r="L3">
        <v>985.18</v>
      </c>
      <c r="M3">
        <f t="shared" si="2"/>
        <v>19.703599999999998</v>
      </c>
    </row>
    <row r="4" spans="4:13" x14ac:dyDescent="0.25">
      <c r="D4">
        <v>4</v>
      </c>
      <c r="E4">
        <v>200</v>
      </c>
      <c r="F4" s="3">
        <f>2861.41/28</f>
        <v>102.19321428571428</v>
      </c>
      <c r="G4">
        <f t="shared" si="0"/>
        <v>0.51096607142857142</v>
      </c>
      <c r="I4" s="1">
        <f>2823.14/28</f>
        <v>100.82642857142856</v>
      </c>
      <c r="J4">
        <f t="shared" si="1"/>
        <v>0.50413214285714281</v>
      </c>
      <c r="L4">
        <f>2861.41/28</f>
        <v>102.19321428571428</v>
      </c>
      <c r="M4">
        <f t="shared" si="2"/>
        <v>0.51096607142857142</v>
      </c>
    </row>
    <row r="5" spans="4:13" x14ac:dyDescent="0.25">
      <c r="F5" s="3"/>
      <c r="I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НМЦК</vt:lpstr>
      <vt:lpstr>Лист2</vt:lpstr>
      <vt:lpstr>кп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Карпова</dc:creator>
  <cp:lastModifiedBy>Зятькова Тамилла Булатовна</cp:lastModifiedBy>
  <cp:lastPrinted>2026-08-20T13:45:08Z</cp:lastPrinted>
  <dcterms:created xsi:type="dcterms:W3CDTF">2022-07-26T12:21:58Z</dcterms:created>
  <dcterms:modified xsi:type="dcterms:W3CDTF">2026-08-26T10:00:33Z</dcterms:modified>
</cp:coreProperties>
</file>