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stikova\Desktop\БЕРЕЗКА\"/>
    </mc:Choice>
  </mc:AlternateContent>
  <bookViews>
    <workbookView xWindow="0" yWindow="0" windowWidth="23040" windowHeight="8580"/>
  </bookViews>
  <sheets>
    <sheet name="Смета по ФСНБ 421+557прРИМ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'Смета по ФСНБ 421+557прРИМ'!$59:$59</definedName>
    <definedName name="_xlnm.Print_Area" localSheetId="0">'Смета по ФСНБ 421+557прРИМ'!$A$1:$L$705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7" l="1"/>
  <c r="G12" i="6"/>
  <c r="F12" i="6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DJ156" i="3"/>
  <c r="DI156" i="3"/>
  <c r="DH156" i="3"/>
  <c r="DG156" i="3"/>
  <c r="DF156" i="3"/>
  <c r="DC156" i="3"/>
  <c r="DB156" i="3"/>
  <c r="DA156" i="3"/>
  <c r="CZ156" i="3"/>
  <c r="CY156" i="3"/>
  <c r="CX156" i="3"/>
  <c r="Y156" i="3"/>
  <c r="A156" i="3"/>
  <c r="DJ155" i="3"/>
  <c r="DI155" i="3"/>
  <c r="DH155" i="3"/>
  <c r="DG155" i="3"/>
  <c r="DF155" i="3"/>
  <c r="DC155" i="3"/>
  <c r="DB155" i="3"/>
  <c r="DA155" i="3"/>
  <c r="CZ155" i="3"/>
  <c r="CY155" i="3"/>
  <c r="CX155" i="3"/>
  <c r="CV155" i="3"/>
  <c r="CU155" i="3"/>
  <c r="Y155" i="3"/>
  <c r="A155" i="3"/>
  <c r="DJ154" i="3"/>
  <c r="DI154" i="3"/>
  <c r="DH154" i="3"/>
  <c r="DG154" i="3"/>
  <c r="DF154" i="3"/>
  <c r="DC154" i="3"/>
  <c r="DB154" i="3"/>
  <c r="DA154" i="3"/>
  <c r="CZ154" i="3"/>
  <c r="CY154" i="3"/>
  <c r="CX154" i="3"/>
  <c r="Y154" i="3"/>
  <c r="A154" i="3"/>
  <c r="DJ153" i="3"/>
  <c r="DI153" i="3"/>
  <c r="DH153" i="3"/>
  <c r="DG153" i="3"/>
  <c r="DF153" i="3"/>
  <c r="DC153" i="3"/>
  <c r="DB153" i="3"/>
  <c r="DA153" i="3"/>
  <c r="CZ153" i="3"/>
  <c r="CY153" i="3"/>
  <c r="CX153" i="3"/>
  <c r="CW153" i="3"/>
  <c r="Y153" i="3"/>
  <c r="A153" i="3"/>
  <c r="DJ152" i="3"/>
  <c r="DI152" i="3"/>
  <c r="DH152" i="3"/>
  <c r="DG152" i="3"/>
  <c r="DF152" i="3"/>
  <c r="DC152" i="3"/>
  <c r="DB152" i="3"/>
  <c r="DA152" i="3"/>
  <c r="CZ152" i="3"/>
  <c r="CY152" i="3"/>
  <c r="CX152" i="3"/>
  <c r="CW152" i="3"/>
  <c r="Y152" i="3"/>
  <c r="A152" i="3"/>
  <c r="DJ151" i="3"/>
  <c r="DI151" i="3"/>
  <c r="DH151" i="3"/>
  <c r="DG151" i="3"/>
  <c r="DF151" i="3"/>
  <c r="DC151" i="3"/>
  <c r="DB151" i="3"/>
  <c r="DA151" i="3"/>
  <c r="CZ151" i="3"/>
  <c r="CY151" i="3"/>
  <c r="CX151" i="3"/>
  <c r="Y151" i="3"/>
  <c r="A151" i="3"/>
  <c r="DJ150" i="3"/>
  <c r="DI150" i="3"/>
  <c r="DH150" i="3"/>
  <c r="DG150" i="3"/>
  <c r="DF150" i="3"/>
  <c r="DC150" i="3"/>
  <c r="DB150" i="3"/>
  <c r="DA150" i="3"/>
  <c r="CZ150" i="3"/>
  <c r="CY150" i="3"/>
  <c r="CX150" i="3"/>
  <c r="CV150" i="3"/>
  <c r="CU150" i="3"/>
  <c r="Y150" i="3"/>
  <c r="A150" i="3"/>
  <c r="DJ149" i="3"/>
  <c r="DI149" i="3"/>
  <c r="DH149" i="3"/>
  <c r="DG149" i="3"/>
  <c r="DF149" i="3"/>
  <c r="DC149" i="3"/>
  <c r="DB149" i="3"/>
  <c r="DA149" i="3"/>
  <c r="CZ149" i="3"/>
  <c r="CY149" i="3"/>
  <c r="CX149" i="3"/>
  <c r="Y149" i="3"/>
  <c r="A149" i="3"/>
  <c r="DJ148" i="3"/>
  <c r="DI148" i="3"/>
  <c r="DH148" i="3"/>
  <c r="DG148" i="3"/>
  <c r="DF148" i="3"/>
  <c r="DC148" i="3"/>
  <c r="DB148" i="3"/>
  <c r="DA148" i="3"/>
  <c r="CZ148" i="3"/>
  <c r="CY148" i="3"/>
  <c r="CX148" i="3"/>
  <c r="Y148" i="3"/>
  <c r="A148" i="3"/>
  <c r="DJ147" i="3"/>
  <c r="DI147" i="3"/>
  <c r="DH147" i="3"/>
  <c r="DG147" i="3"/>
  <c r="DF147" i="3"/>
  <c r="DC147" i="3"/>
  <c r="DB147" i="3"/>
  <c r="DA147" i="3"/>
  <c r="CZ147" i="3"/>
  <c r="CY147" i="3"/>
  <c r="CX147" i="3"/>
  <c r="Y147" i="3"/>
  <c r="A147" i="3"/>
  <c r="DJ146" i="3"/>
  <c r="DI146" i="3"/>
  <c r="DH146" i="3"/>
  <c r="DG146" i="3"/>
  <c r="DF146" i="3"/>
  <c r="DC146" i="3"/>
  <c r="DB146" i="3"/>
  <c r="DA146" i="3"/>
  <c r="CZ146" i="3"/>
  <c r="CY146" i="3"/>
  <c r="CX146" i="3"/>
  <c r="Y146" i="3"/>
  <c r="A146" i="3"/>
  <c r="DJ145" i="3"/>
  <c r="DI145" i="3"/>
  <c r="DH145" i="3"/>
  <c r="DG145" i="3"/>
  <c r="DF145" i="3"/>
  <c r="DC145" i="3"/>
  <c r="DB145" i="3"/>
  <c r="DA145" i="3"/>
  <c r="CZ145" i="3"/>
  <c r="CY145" i="3"/>
  <c r="CX145" i="3"/>
  <c r="Y145" i="3"/>
  <c r="A145" i="3"/>
  <c r="DJ144" i="3"/>
  <c r="DI144" i="3"/>
  <c r="DH144" i="3"/>
  <c r="DG144" i="3"/>
  <c r="DF144" i="3"/>
  <c r="DC144" i="3"/>
  <c r="DB144" i="3"/>
  <c r="DA144" i="3"/>
  <c r="CZ144" i="3"/>
  <c r="CY144" i="3"/>
  <c r="CX144" i="3"/>
  <c r="Y144" i="3"/>
  <c r="A144" i="3"/>
  <c r="DJ143" i="3"/>
  <c r="DI143" i="3"/>
  <c r="DH143" i="3"/>
  <c r="DG143" i="3"/>
  <c r="DF143" i="3"/>
  <c r="DC143" i="3"/>
  <c r="DB143" i="3"/>
  <c r="DA143" i="3"/>
  <c r="CZ143" i="3"/>
  <c r="CY143" i="3"/>
  <c r="CX143" i="3"/>
  <c r="CW143" i="3"/>
  <c r="Y143" i="3"/>
  <c r="A143" i="3"/>
  <c r="DJ142" i="3"/>
  <c r="DI142" i="3"/>
  <c r="DH142" i="3"/>
  <c r="DG142" i="3"/>
  <c r="DF142" i="3"/>
  <c r="DC142" i="3"/>
  <c r="DB142" i="3"/>
  <c r="DA142" i="3"/>
  <c r="CZ142" i="3"/>
  <c r="CY142" i="3"/>
  <c r="CX142" i="3"/>
  <c r="CW142" i="3"/>
  <c r="Y142" i="3"/>
  <c r="A142" i="3"/>
  <c r="DJ141" i="3"/>
  <c r="DI141" i="3"/>
  <c r="DH141" i="3"/>
  <c r="DG141" i="3"/>
  <c r="DF141" i="3"/>
  <c r="DC141" i="3"/>
  <c r="DB141" i="3"/>
  <c r="DA141" i="3"/>
  <c r="CZ141" i="3"/>
  <c r="CY141" i="3"/>
  <c r="CX141" i="3"/>
  <c r="Y141" i="3"/>
  <c r="A141" i="3"/>
  <c r="DJ140" i="3"/>
  <c r="DI140" i="3"/>
  <c r="DH140" i="3"/>
  <c r="DG140" i="3"/>
  <c r="DF140" i="3"/>
  <c r="DC140" i="3"/>
  <c r="DB140" i="3"/>
  <c r="DA140" i="3"/>
  <c r="CZ140" i="3"/>
  <c r="CY140" i="3"/>
  <c r="CX140" i="3"/>
  <c r="CV140" i="3"/>
  <c r="CU140" i="3"/>
  <c r="Y140" i="3"/>
  <c r="A140" i="3"/>
  <c r="DJ139" i="3"/>
  <c r="DI139" i="3"/>
  <c r="DH139" i="3"/>
  <c r="DG139" i="3"/>
  <c r="DF139" i="3"/>
  <c r="DC139" i="3"/>
  <c r="DB139" i="3"/>
  <c r="DA139" i="3"/>
  <c r="CZ139" i="3"/>
  <c r="CY139" i="3"/>
  <c r="CX139" i="3"/>
  <c r="Y139" i="3"/>
  <c r="A139" i="3"/>
  <c r="DJ138" i="3"/>
  <c r="DI138" i="3"/>
  <c r="DH138" i="3"/>
  <c r="DG138" i="3"/>
  <c r="DF138" i="3"/>
  <c r="DC138" i="3"/>
  <c r="DB138" i="3"/>
  <c r="DA138" i="3"/>
  <c r="CZ138" i="3"/>
  <c r="CY138" i="3"/>
  <c r="CX138" i="3"/>
  <c r="Y138" i="3"/>
  <c r="A138" i="3"/>
  <c r="DJ137" i="3"/>
  <c r="DI137" i="3"/>
  <c r="DH137" i="3"/>
  <c r="DG137" i="3"/>
  <c r="DF137" i="3"/>
  <c r="DC137" i="3"/>
  <c r="DB137" i="3"/>
  <c r="DA137" i="3"/>
  <c r="CZ137" i="3"/>
  <c r="CY137" i="3"/>
  <c r="CX137" i="3"/>
  <c r="Y137" i="3"/>
  <c r="A137" i="3"/>
  <c r="DJ136" i="3"/>
  <c r="DI136" i="3"/>
  <c r="DH136" i="3"/>
  <c r="DG136" i="3"/>
  <c r="DF136" i="3"/>
  <c r="DC136" i="3"/>
  <c r="DB136" i="3"/>
  <c r="DA136" i="3"/>
  <c r="CZ136" i="3"/>
  <c r="CY136" i="3"/>
  <c r="CX136" i="3"/>
  <c r="CW136" i="3"/>
  <c r="Y136" i="3"/>
  <c r="A136" i="3"/>
  <c r="DJ135" i="3"/>
  <c r="DI135" i="3"/>
  <c r="DH135" i="3"/>
  <c r="DG135" i="3"/>
  <c r="DF135" i="3"/>
  <c r="DC135" i="3"/>
  <c r="DB135" i="3"/>
  <c r="DA135" i="3"/>
  <c r="CZ135" i="3"/>
  <c r="CY135" i="3"/>
  <c r="CX135" i="3"/>
  <c r="CW135" i="3"/>
  <c r="Y135" i="3"/>
  <c r="A135" i="3"/>
  <c r="DJ134" i="3"/>
  <c r="DI134" i="3"/>
  <c r="DH134" i="3"/>
  <c r="DG134" i="3"/>
  <c r="DF134" i="3"/>
  <c r="DC134" i="3"/>
  <c r="DB134" i="3"/>
  <c r="DA134" i="3"/>
  <c r="CZ134" i="3"/>
  <c r="CY134" i="3"/>
  <c r="CX134" i="3"/>
  <c r="Y134" i="3"/>
  <c r="A134" i="3"/>
  <c r="DJ133" i="3"/>
  <c r="DI133" i="3"/>
  <c r="DH133" i="3"/>
  <c r="DG133" i="3"/>
  <c r="DF133" i="3"/>
  <c r="DC133" i="3"/>
  <c r="DB133" i="3"/>
  <c r="DA133" i="3"/>
  <c r="CZ133" i="3"/>
  <c r="CY133" i="3"/>
  <c r="CX133" i="3"/>
  <c r="CV133" i="3"/>
  <c r="CU133" i="3"/>
  <c r="Y133" i="3"/>
  <c r="A133" i="3"/>
  <c r="DJ132" i="3"/>
  <c r="DI132" i="3"/>
  <c r="DH132" i="3"/>
  <c r="DG132" i="3"/>
  <c r="DF132" i="3"/>
  <c r="DC132" i="3"/>
  <c r="DB132" i="3"/>
  <c r="DA132" i="3"/>
  <c r="CZ132" i="3"/>
  <c r="CY132" i="3"/>
  <c r="CX132" i="3"/>
  <c r="Y132" i="3"/>
  <c r="A132" i="3"/>
  <c r="DJ131" i="3"/>
  <c r="DI131" i="3"/>
  <c r="DH131" i="3"/>
  <c r="DG131" i="3"/>
  <c r="DF131" i="3"/>
  <c r="DC131" i="3"/>
  <c r="DB131" i="3"/>
  <c r="DA131" i="3"/>
  <c r="CZ131" i="3"/>
  <c r="CY131" i="3"/>
  <c r="CX131" i="3"/>
  <c r="Y131" i="3"/>
  <c r="A131" i="3"/>
  <c r="DJ130" i="3"/>
  <c r="DI130" i="3"/>
  <c r="DH130" i="3"/>
  <c r="DG130" i="3"/>
  <c r="DF130" i="3"/>
  <c r="DC130" i="3"/>
  <c r="DB130" i="3"/>
  <c r="DA130" i="3"/>
  <c r="CZ130" i="3"/>
  <c r="CY130" i="3"/>
  <c r="CX130" i="3"/>
  <c r="CW130" i="3"/>
  <c r="Y130" i="3"/>
  <c r="A130" i="3"/>
  <c r="DJ129" i="3"/>
  <c r="DI129" i="3"/>
  <c r="DH129" i="3"/>
  <c r="DG129" i="3"/>
  <c r="DF129" i="3"/>
  <c r="DC129" i="3"/>
  <c r="DB129" i="3"/>
  <c r="DA129" i="3"/>
  <c r="CZ129" i="3"/>
  <c r="CY129" i="3"/>
  <c r="CX129" i="3"/>
  <c r="CW129" i="3"/>
  <c r="Y129" i="3"/>
  <c r="A129" i="3"/>
  <c r="DJ128" i="3"/>
  <c r="DI128" i="3"/>
  <c r="DH128" i="3"/>
  <c r="DG128" i="3"/>
  <c r="DF128" i="3"/>
  <c r="DC128" i="3"/>
  <c r="DB128" i="3"/>
  <c r="DA128" i="3"/>
  <c r="CZ128" i="3"/>
  <c r="CY128" i="3"/>
  <c r="CX128" i="3"/>
  <c r="CW128" i="3"/>
  <c r="Y128" i="3"/>
  <c r="A128" i="3"/>
  <c r="DJ127" i="3"/>
  <c r="DI127" i="3"/>
  <c r="DH127" i="3"/>
  <c r="DG127" i="3"/>
  <c r="DF127" i="3"/>
  <c r="DC127" i="3"/>
  <c r="DB127" i="3"/>
  <c r="DA127" i="3"/>
  <c r="CZ127" i="3"/>
  <c r="CY127" i="3"/>
  <c r="CX127" i="3"/>
  <c r="CW127" i="3"/>
  <c r="Y127" i="3"/>
  <c r="A127" i="3"/>
  <c r="DJ126" i="3"/>
  <c r="DI126" i="3"/>
  <c r="DH126" i="3"/>
  <c r="DG126" i="3"/>
  <c r="DF126" i="3"/>
  <c r="DC126" i="3"/>
  <c r="DB126" i="3"/>
  <c r="DA126" i="3"/>
  <c r="CZ126" i="3"/>
  <c r="CY126" i="3"/>
  <c r="CX126" i="3"/>
  <c r="Y126" i="3"/>
  <c r="A126" i="3"/>
  <c r="DJ125" i="3"/>
  <c r="DI125" i="3"/>
  <c r="DH125" i="3"/>
  <c r="DG125" i="3"/>
  <c r="DF125" i="3"/>
  <c r="DC125" i="3"/>
  <c r="DB125" i="3"/>
  <c r="DA125" i="3"/>
  <c r="CZ125" i="3"/>
  <c r="CY125" i="3"/>
  <c r="CX125" i="3"/>
  <c r="CV125" i="3"/>
  <c r="CU125" i="3"/>
  <c r="Y125" i="3"/>
  <c r="A125" i="3"/>
  <c r="DJ124" i="3"/>
  <c r="DI124" i="3"/>
  <c r="DH124" i="3"/>
  <c r="DG124" i="3"/>
  <c r="DF124" i="3"/>
  <c r="DC124" i="3"/>
  <c r="DB124" i="3"/>
  <c r="DA124" i="3"/>
  <c r="CZ124" i="3"/>
  <c r="CY124" i="3"/>
  <c r="CX124" i="3"/>
  <c r="Y124" i="3"/>
  <c r="A124" i="3"/>
  <c r="DJ123" i="3"/>
  <c r="DI123" i="3"/>
  <c r="DH123" i="3"/>
  <c r="DG123" i="3"/>
  <c r="DF123" i="3"/>
  <c r="DC123" i="3"/>
  <c r="DB123" i="3"/>
  <c r="DA123" i="3"/>
  <c r="CZ123" i="3"/>
  <c r="CY123" i="3"/>
  <c r="CX123" i="3"/>
  <c r="Y123" i="3"/>
  <c r="A123" i="3"/>
  <c r="DJ122" i="3"/>
  <c r="DI122" i="3"/>
  <c r="DH122" i="3"/>
  <c r="DG122" i="3"/>
  <c r="DF122" i="3"/>
  <c r="DC122" i="3"/>
  <c r="DB122" i="3"/>
  <c r="DA122" i="3"/>
  <c r="CZ122" i="3"/>
  <c r="CY122" i="3"/>
  <c r="CX122" i="3"/>
  <c r="Y122" i="3"/>
  <c r="A122" i="3"/>
  <c r="DJ121" i="3"/>
  <c r="DI121" i="3"/>
  <c r="DH121" i="3"/>
  <c r="DG121" i="3"/>
  <c r="DF121" i="3"/>
  <c r="DC121" i="3"/>
  <c r="DB121" i="3"/>
  <c r="DA121" i="3"/>
  <c r="CZ121" i="3"/>
  <c r="CY121" i="3"/>
  <c r="CX121" i="3"/>
  <c r="Y121" i="3"/>
  <c r="A121" i="3"/>
  <c r="DJ120" i="3"/>
  <c r="DI120" i="3"/>
  <c r="DH120" i="3"/>
  <c r="DG120" i="3"/>
  <c r="DF120" i="3"/>
  <c r="DC120" i="3"/>
  <c r="DB120" i="3"/>
  <c r="DA120" i="3"/>
  <c r="CZ120" i="3"/>
  <c r="CY120" i="3"/>
  <c r="CX120" i="3"/>
  <c r="Y120" i="3"/>
  <c r="A120" i="3"/>
  <c r="DJ119" i="3"/>
  <c r="DI119" i="3"/>
  <c r="DH119" i="3"/>
  <c r="DG119" i="3"/>
  <c r="DF119" i="3"/>
  <c r="DC119" i="3"/>
  <c r="DB119" i="3"/>
  <c r="DA119" i="3"/>
  <c r="CZ119" i="3"/>
  <c r="CY119" i="3"/>
  <c r="CX119" i="3"/>
  <c r="Y119" i="3"/>
  <c r="A119" i="3"/>
  <c r="DJ118" i="3"/>
  <c r="DI118" i="3"/>
  <c r="DH118" i="3"/>
  <c r="DG118" i="3"/>
  <c r="DF118" i="3"/>
  <c r="DC118" i="3"/>
  <c r="DB118" i="3"/>
  <c r="DA118" i="3"/>
  <c r="CZ118" i="3"/>
  <c r="CY118" i="3"/>
  <c r="CX118" i="3"/>
  <c r="Y118" i="3"/>
  <c r="A118" i="3"/>
  <c r="DJ117" i="3"/>
  <c r="DI117" i="3"/>
  <c r="DH117" i="3"/>
  <c r="DG117" i="3"/>
  <c r="DF117" i="3"/>
  <c r="DC117" i="3"/>
  <c r="DB117" i="3"/>
  <c r="DA117" i="3"/>
  <c r="CZ117" i="3"/>
  <c r="CY117" i="3"/>
  <c r="CX117" i="3"/>
  <c r="CW117" i="3"/>
  <c r="Y117" i="3"/>
  <c r="A117" i="3"/>
  <c r="DJ116" i="3"/>
  <c r="DI116" i="3"/>
  <c r="DH116" i="3"/>
  <c r="DG116" i="3"/>
  <c r="DF116" i="3"/>
  <c r="DC116" i="3"/>
  <c r="DB116" i="3"/>
  <c r="DA116" i="3"/>
  <c r="CZ116" i="3"/>
  <c r="CY116" i="3"/>
  <c r="CX116" i="3"/>
  <c r="CW116" i="3"/>
  <c r="Y116" i="3"/>
  <c r="A116" i="3"/>
  <c r="DJ115" i="3"/>
  <c r="DI115" i="3"/>
  <c r="DH115" i="3"/>
  <c r="DG115" i="3"/>
  <c r="DF115" i="3"/>
  <c r="DC115" i="3"/>
  <c r="DB115" i="3"/>
  <c r="DA115" i="3"/>
  <c r="CZ115" i="3"/>
  <c r="CY115" i="3"/>
  <c r="CX115" i="3"/>
  <c r="CW115" i="3"/>
  <c r="Y115" i="3"/>
  <c r="A115" i="3"/>
  <c r="DJ114" i="3"/>
  <c r="DI114" i="3"/>
  <c r="DH114" i="3"/>
  <c r="DG114" i="3"/>
  <c r="DF114" i="3"/>
  <c r="DC114" i="3"/>
  <c r="DB114" i="3"/>
  <c r="DA114" i="3"/>
  <c r="CZ114" i="3"/>
  <c r="CY114" i="3"/>
  <c r="CX114" i="3"/>
  <c r="CW114" i="3"/>
  <c r="Y114" i="3"/>
  <c r="A114" i="3"/>
  <c r="DJ113" i="3"/>
  <c r="DI113" i="3"/>
  <c r="DH113" i="3"/>
  <c r="DG113" i="3"/>
  <c r="DF113" i="3"/>
  <c r="DC113" i="3"/>
  <c r="DB113" i="3"/>
  <c r="DA113" i="3"/>
  <c r="CZ113" i="3"/>
  <c r="CY113" i="3"/>
  <c r="CX113" i="3"/>
  <c r="Y113" i="3"/>
  <c r="A113" i="3"/>
  <c r="DJ112" i="3"/>
  <c r="DI112" i="3"/>
  <c r="DH112" i="3"/>
  <c r="DG112" i="3"/>
  <c r="DF112" i="3"/>
  <c r="DC112" i="3"/>
  <c r="DB112" i="3"/>
  <c r="DA112" i="3"/>
  <c r="CZ112" i="3"/>
  <c r="CY112" i="3"/>
  <c r="CX112" i="3"/>
  <c r="CV112" i="3"/>
  <c r="CU112" i="3"/>
  <c r="Y112" i="3"/>
  <c r="A112" i="3"/>
  <c r="DJ111" i="3"/>
  <c r="DI111" i="3"/>
  <c r="DH111" i="3"/>
  <c r="DG111" i="3"/>
  <c r="DF111" i="3"/>
  <c r="DC111" i="3"/>
  <c r="DB111" i="3"/>
  <c r="DA111" i="3"/>
  <c r="CZ111" i="3"/>
  <c r="CY111" i="3"/>
  <c r="CX111" i="3"/>
  <c r="Y111" i="3"/>
  <c r="A111" i="3"/>
  <c r="DJ110" i="3"/>
  <c r="DI110" i="3"/>
  <c r="DH110" i="3"/>
  <c r="DG110" i="3"/>
  <c r="DF110" i="3"/>
  <c r="DC110" i="3"/>
  <c r="DB110" i="3"/>
  <c r="DA110" i="3"/>
  <c r="CZ110" i="3"/>
  <c r="CY110" i="3"/>
  <c r="CX110" i="3"/>
  <c r="Y110" i="3"/>
  <c r="A110" i="3"/>
  <c r="DJ109" i="3"/>
  <c r="DI109" i="3"/>
  <c r="DH109" i="3"/>
  <c r="DG109" i="3"/>
  <c r="DF109" i="3"/>
  <c r="DC109" i="3"/>
  <c r="DB109" i="3"/>
  <c r="DA109" i="3"/>
  <c r="CZ109" i="3"/>
  <c r="CY109" i="3"/>
  <c r="CX109" i="3"/>
  <c r="Y109" i="3"/>
  <c r="A109" i="3"/>
  <c r="DJ108" i="3"/>
  <c r="DI108" i="3"/>
  <c r="DH108" i="3"/>
  <c r="DG108" i="3"/>
  <c r="DF108" i="3"/>
  <c r="DC108" i="3"/>
  <c r="DB108" i="3"/>
  <c r="DA108" i="3"/>
  <c r="CZ108" i="3"/>
  <c r="CY108" i="3"/>
  <c r="CX108" i="3"/>
  <c r="Y108" i="3"/>
  <c r="A108" i="3"/>
  <c r="DJ107" i="3"/>
  <c r="DI107" i="3"/>
  <c r="DH107" i="3"/>
  <c r="DG107" i="3"/>
  <c r="DF107" i="3"/>
  <c r="DC107" i="3"/>
  <c r="DB107" i="3"/>
  <c r="DA107" i="3"/>
  <c r="CZ107" i="3"/>
  <c r="CY107" i="3"/>
  <c r="CX107" i="3"/>
  <c r="Y107" i="3"/>
  <c r="A107" i="3"/>
  <c r="DJ106" i="3"/>
  <c r="DI106" i="3"/>
  <c r="DH106" i="3"/>
  <c r="DG106" i="3"/>
  <c r="DF106" i="3"/>
  <c r="DC106" i="3"/>
  <c r="DB106" i="3"/>
  <c r="DA106" i="3"/>
  <c r="CZ106" i="3"/>
  <c r="CY106" i="3"/>
  <c r="CX106" i="3"/>
  <c r="CW106" i="3"/>
  <c r="Y106" i="3"/>
  <c r="A106" i="3"/>
  <c r="DJ105" i="3"/>
  <c r="DI105" i="3"/>
  <c r="DH105" i="3"/>
  <c r="DG105" i="3"/>
  <c r="DF105" i="3"/>
  <c r="DC105" i="3"/>
  <c r="DB105" i="3"/>
  <c r="DA105" i="3"/>
  <c r="CZ105" i="3"/>
  <c r="CY105" i="3"/>
  <c r="CX105" i="3"/>
  <c r="Y105" i="3"/>
  <c r="A105" i="3"/>
  <c r="DJ104" i="3"/>
  <c r="DI104" i="3"/>
  <c r="DH104" i="3"/>
  <c r="DG104" i="3"/>
  <c r="DF104" i="3"/>
  <c r="DC104" i="3"/>
  <c r="DB104" i="3"/>
  <c r="DA104" i="3"/>
  <c r="CZ104" i="3"/>
  <c r="CY104" i="3"/>
  <c r="CX104" i="3"/>
  <c r="CV104" i="3"/>
  <c r="CU104" i="3"/>
  <c r="Y104" i="3"/>
  <c r="A104" i="3"/>
  <c r="DJ103" i="3"/>
  <c r="DI103" i="3"/>
  <c r="DH103" i="3"/>
  <c r="DG103" i="3"/>
  <c r="DF103" i="3"/>
  <c r="DC103" i="3"/>
  <c r="DB103" i="3"/>
  <c r="DA103" i="3"/>
  <c r="CZ103" i="3"/>
  <c r="CY103" i="3"/>
  <c r="CX103" i="3"/>
  <c r="Y103" i="3"/>
  <c r="A103" i="3"/>
  <c r="DJ102" i="3"/>
  <c r="DI102" i="3"/>
  <c r="DH102" i="3"/>
  <c r="DG102" i="3"/>
  <c r="DF102" i="3"/>
  <c r="DC102" i="3"/>
  <c r="DB102" i="3"/>
  <c r="DA102" i="3"/>
  <c r="CZ102" i="3"/>
  <c r="CY102" i="3"/>
  <c r="CX102" i="3"/>
  <c r="Y102" i="3"/>
  <c r="A102" i="3"/>
  <c r="DJ101" i="3"/>
  <c r="DI101" i="3"/>
  <c r="DH101" i="3"/>
  <c r="DG101" i="3"/>
  <c r="DF101" i="3"/>
  <c r="DC101" i="3"/>
  <c r="DB101" i="3"/>
  <c r="DA101" i="3"/>
  <c r="CZ101" i="3"/>
  <c r="CY101" i="3"/>
  <c r="CX101" i="3"/>
  <c r="Y101" i="3"/>
  <c r="A101" i="3"/>
  <c r="DJ100" i="3"/>
  <c r="DI100" i="3"/>
  <c r="DH100" i="3"/>
  <c r="DG100" i="3"/>
  <c r="DF100" i="3"/>
  <c r="DC100" i="3"/>
  <c r="DB100" i="3"/>
  <c r="DA100" i="3"/>
  <c r="CZ100" i="3"/>
  <c r="CY100" i="3"/>
  <c r="CX100" i="3"/>
  <c r="Y100" i="3"/>
  <c r="A100" i="3"/>
  <c r="DJ99" i="3"/>
  <c r="DI99" i="3"/>
  <c r="DH99" i="3"/>
  <c r="DG99" i="3"/>
  <c r="DF99" i="3"/>
  <c r="DC99" i="3"/>
  <c r="DB99" i="3"/>
  <c r="DA99" i="3"/>
  <c r="CZ99" i="3"/>
  <c r="CY99" i="3"/>
  <c r="CX99" i="3"/>
  <c r="Y99" i="3"/>
  <c r="A99" i="3"/>
  <c r="DJ98" i="3"/>
  <c r="DI98" i="3"/>
  <c r="DH98" i="3"/>
  <c r="DG98" i="3"/>
  <c r="DF98" i="3"/>
  <c r="DC98" i="3"/>
  <c r="DB98" i="3"/>
  <c r="DA98" i="3"/>
  <c r="CZ98" i="3"/>
  <c r="CY98" i="3"/>
  <c r="CX98" i="3"/>
  <c r="CW98" i="3"/>
  <c r="Y98" i="3"/>
  <c r="A98" i="3"/>
  <c r="DJ97" i="3"/>
  <c r="DI97" i="3"/>
  <c r="DH97" i="3"/>
  <c r="DG97" i="3"/>
  <c r="DF97" i="3"/>
  <c r="DC97" i="3"/>
  <c r="DB97" i="3"/>
  <c r="DA97" i="3"/>
  <c r="CZ97" i="3"/>
  <c r="CY97" i="3"/>
  <c r="CX97" i="3"/>
  <c r="CW97" i="3"/>
  <c r="Y97" i="3"/>
  <c r="A97" i="3"/>
  <c r="DJ96" i="3"/>
  <c r="DI96" i="3"/>
  <c r="DH96" i="3"/>
  <c r="DG96" i="3"/>
  <c r="DF96" i="3"/>
  <c r="DC96" i="3"/>
  <c r="DB96" i="3"/>
  <c r="DA96" i="3"/>
  <c r="CZ96" i="3"/>
  <c r="CY96" i="3"/>
  <c r="CX96" i="3"/>
  <c r="Y96" i="3"/>
  <c r="A96" i="3"/>
  <c r="DJ95" i="3"/>
  <c r="DI95" i="3"/>
  <c r="DH95" i="3"/>
  <c r="DG95" i="3"/>
  <c r="DF95" i="3"/>
  <c r="DC95" i="3"/>
  <c r="DB95" i="3"/>
  <c r="DA95" i="3"/>
  <c r="CZ95" i="3"/>
  <c r="CY95" i="3"/>
  <c r="CX95" i="3"/>
  <c r="CV95" i="3"/>
  <c r="CU95" i="3"/>
  <c r="Y95" i="3"/>
  <c r="A95" i="3"/>
  <c r="DJ94" i="3"/>
  <c r="DI94" i="3"/>
  <c r="DH94" i="3"/>
  <c r="DG94" i="3"/>
  <c r="DF94" i="3"/>
  <c r="DC94" i="3"/>
  <c r="DB94" i="3"/>
  <c r="DA94" i="3"/>
  <c r="CZ94" i="3"/>
  <c r="CY94" i="3"/>
  <c r="CX94" i="3"/>
  <c r="Y94" i="3"/>
  <c r="A94" i="3"/>
  <c r="DJ93" i="3"/>
  <c r="DI93" i="3"/>
  <c r="DH93" i="3"/>
  <c r="DG93" i="3"/>
  <c r="DF93" i="3"/>
  <c r="DC93" i="3"/>
  <c r="DB93" i="3"/>
  <c r="DA93" i="3"/>
  <c r="CZ93" i="3"/>
  <c r="CY93" i="3"/>
  <c r="CX93" i="3"/>
  <c r="Y93" i="3"/>
  <c r="A93" i="3"/>
  <c r="DJ92" i="3"/>
  <c r="DI92" i="3"/>
  <c r="DH92" i="3"/>
  <c r="DG92" i="3"/>
  <c r="DF92" i="3"/>
  <c r="DC92" i="3"/>
  <c r="DB92" i="3"/>
  <c r="DA92" i="3"/>
  <c r="CZ92" i="3"/>
  <c r="CY92" i="3"/>
  <c r="CX92" i="3"/>
  <c r="CW92" i="3"/>
  <c r="Y92" i="3"/>
  <c r="A92" i="3"/>
  <c r="DJ91" i="3"/>
  <c r="DI91" i="3"/>
  <c r="DH91" i="3"/>
  <c r="DG91" i="3"/>
  <c r="DF91" i="3"/>
  <c r="DC91" i="3"/>
  <c r="DB91" i="3"/>
  <c r="DA91" i="3"/>
  <c r="CZ91" i="3"/>
  <c r="CY91" i="3"/>
  <c r="CX91" i="3"/>
  <c r="Y91" i="3"/>
  <c r="A91" i="3"/>
  <c r="DJ90" i="3"/>
  <c r="DI90" i="3"/>
  <c r="DH90" i="3"/>
  <c r="DG90" i="3"/>
  <c r="DF90" i="3"/>
  <c r="DC90" i="3"/>
  <c r="DB90" i="3"/>
  <c r="DA90" i="3"/>
  <c r="CZ90" i="3"/>
  <c r="CY90" i="3"/>
  <c r="CX90" i="3"/>
  <c r="CV90" i="3"/>
  <c r="CU90" i="3"/>
  <c r="Y90" i="3"/>
  <c r="A90" i="3"/>
  <c r="DJ89" i="3"/>
  <c r="DI89" i="3"/>
  <c r="DH89" i="3"/>
  <c r="DG89" i="3"/>
  <c r="DF89" i="3"/>
  <c r="DC89" i="3"/>
  <c r="DB89" i="3"/>
  <c r="DA89" i="3"/>
  <c r="CZ89" i="3"/>
  <c r="CY89" i="3"/>
  <c r="CX89" i="3"/>
  <c r="Y89" i="3"/>
  <c r="A89" i="3"/>
  <c r="DJ88" i="3"/>
  <c r="DI88" i="3"/>
  <c r="DH88" i="3"/>
  <c r="DG88" i="3"/>
  <c r="DF88" i="3"/>
  <c r="DC88" i="3"/>
  <c r="DB88" i="3"/>
  <c r="DA88" i="3"/>
  <c r="CZ88" i="3"/>
  <c r="CY88" i="3"/>
  <c r="CX88" i="3"/>
  <c r="Y88" i="3"/>
  <c r="A88" i="3"/>
  <c r="DJ87" i="3"/>
  <c r="DI87" i="3"/>
  <c r="DH87" i="3"/>
  <c r="DG87" i="3"/>
  <c r="DF87" i="3"/>
  <c r="DC87" i="3"/>
  <c r="DB87" i="3"/>
  <c r="DA87" i="3"/>
  <c r="CZ87" i="3"/>
  <c r="CY87" i="3"/>
  <c r="CX87" i="3"/>
  <c r="Y87" i="3"/>
  <c r="A87" i="3"/>
  <c r="DJ86" i="3"/>
  <c r="DI86" i="3"/>
  <c r="DH86" i="3"/>
  <c r="DG86" i="3"/>
  <c r="DF86" i="3"/>
  <c r="DC86" i="3"/>
  <c r="DB86" i="3"/>
  <c r="DA86" i="3"/>
  <c r="CZ86" i="3"/>
  <c r="CY86" i="3"/>
  <c r="CX86" i="3"/>
  <c r="Y86" i="3"/>
  <c r="A86" i="3"/>
  <c r="DJ85" i="3"/>
  <c r="DI85" i="3"/>
  <c r="DH85" i="3"/>
  <c r="DG85" i="3"/>
  <c r="DF85" i="3"/>
  <c r="DC85" i="3"/>
  <c r="DB85" i="3"/>
  <c r="DA85" i="3"/>
  <c r="CZ85" i="3"/>
  <c r="CY85" i="3"/>
  <c r="CX85" i="3"/>
  <c r="Y85" i="3"/>
  <c r="A85" i="3"/>
  <c r="DJ84" i="3"/>
  <c r="DI84" i="3"/>
  <c r="DH84" i="3"/>
  <c r="DG84" i="3"/>
  <c r="DF84" i="3"/>
  <c r="DC84" i="3"/>
  <c r="DB84" i="3"/>
  <c r="DA84" i="3"/>
  <c r="CZ84" i="3"/>
  <c r="CY84" i="3"/>
  <c r="CX84" i="3"/>
  <c r="Y84" i="3"/>
  <c r="A84" i="3"/>
  <c r="DJ83" i="3"/>
  <c r="DI83" i="3"/>
  <c r="DH83" i="3"/>
  <c r="DG83" i="3"/>
  <c r="DF83" i="3"/>
  <c r="DC83" i="3"/>
  <c r="DB83" i="3"/>
  <c r="DA83" i="3"/>
  <c r="CZ83" i="3"/>
  <c r="CY83" i="3"/>
  <c r="CX83" i="3"/>
  <c r="Y83" i="3"/>
  <c r="A83" i="3"/>
  <c r="DJ82" i="3"/>
  <c r="DI82" i="3"/>
  <c r="DH82" i="3"/>
  <c r="DG82" i="3"/>
  <c r="DF82" i="3"/>
  <c r="DC82" i="3"/>
  <c r="DB82" i="3"/>
  <c r="DA82" i="3"/>
  <c r="CZ82" i="3"/>
  <c r="CY82" i="3"/>
  <c r="CX82" i="3"/>
  <c r="Y82" i="3"/>
  <c r="A82" i="3"/>
  <c r="DJ81" i="3"/>
  <c r="DI81" i="3"/>
  <c r="DH81" i="3"/>
  <c r="DG81" i="3"/>
  <c r="DF81" i="3"/>
  <c r="DC81" i="3"/>
  <c r="DB81" i="3"/>
  <c r="DA81" i="3"/>
  <c r="CZ81" i="3"/>
  <c r="CY81" i="3"/>
  <c r="CX81" i="3"/>
  <c r="Y81" i="3"/>
  <c r="A81" i="3"/>
  <c r="DJ80" i="3"/>
  <c r="DI80" i="3"/>
  <c r="DH80" i="3"/>
  <c r="DG80" i="3"/>
  <c r="DF80" i="3"/>
  <c r="DC80" i="3"/>
  <c r="DB80" i="3"/>
  <c r="DA80" i="3"/>
  <c r="CZ80" i="3"/>
  <c r="CY80" i="3"/>
  <c r="CX80" i="3"/>
  <c r="Y80" i="3"/>
  <c r="A80" i="3"/>
  <c r="DJ79" i="3"/>
  <c r="DI79" i="3"/>
  <c r="DH79" i="3"/>
  <c r="DG79" i="3"/>
  <c r="DF79" i="3"/>
  <c r="DC79" i="3"/>
  <c r="DB79" i="3"/>
  <c r="DA79" i="3"/>
  <c r="CZ79" i="3"/>
  <c r="CY79" i="3"/>
  <c r="CX79" i="3"/>
  <c r="Y79" i="3"/>
  <c r="A79" i="3"/>
  <c r="DJ78" i="3"/>
  <c r="DI78" i="3"/>
  <c r="DH78" i="3"/>
  <c r="DG78" i="3"/>
  <c r="DF78" i="3"/>
  <c r="DC78" i="3"/>
  <c r="DB78" i="3"/>
  <c r="DA78" i="3"/>
  <c r="CZ78" i="3"/>
  <c r="CY78" i="3"/>
  <c r="CX78" i="3"/>
  <c r="Y78" i="3"/>
  <c r="A78" i="3"/>
  <c r="DJ77" i="3"/>
  <c r="DI77" i="3"/>
  <c r="DH77" i="3"/>
  <c r="DG77" i="3"/>
  <c r="DF77" i="3"/>
  <c r="DC77" i="3"/>
  <c r="DB77" i="3"/>
  <c r="DA77" i="3"/>
  <c r="CZ77" i="3"/>
  <c r="CY77" i="3"/>
  <c r="CX77" i="3"/>
  <c r="Y77" i="3"/>
  <c r="A77" i="3"/>
  <c r="DJ76" i="3"/>
  <c r="DI76" i="3"/>
  <c r="DH76" i="3"/>
  <c r="DG76" i="3"/>
  <c r="DF76" i="3"/>
  <c r="DC76" i="3"/>
  <c r="DB76" i="3"/>
  <c r="DA76" i="3"/>
  <c r="CZ76" i="3"/>
  <c r="CY76" i="3"/>
  <c r="CX76" i="3"/>
  <c r="Y76" i="3"/>
  <c r="A76" i="3"/>
  <c r="DJ75" i="3"/>
  <c r="DI75" i="3"/>
  <c r="DH75" i="3"/>
  <c r="DG75" i="3"/>
  <c r="DF75" i="3"/>
  <c r="DC75" i="3"/>
  <c r="DB75" i="3"/>
  <c r="DA75" i="3"/>
  <c r="CZ75" i="3"/>
  <c r="CY75" i="3"/>
  <c r="CX75" i="3"/>
  <c r="Y75" i="3"/>
  <c r="A75" i="3"/>
  <c r="DJ74" i="3"/>
  <c r="DI74" i="3"/>
  <c r="DH74" i="3"/>
  <c r="DG74" i="3"/>
  <c r="DF74" i="3"/>
  <c r="DC74" i="3"/>
  <c r="DB74" i="3"/>
  <c r="DA74" i="3"/>
  <c r="CZ74" i="3"/>
  <c r="CY74" i="3"/>
  <c r="CX74" i="3"/>
  <c r="Y74" i="3"/>
  <c r="A74" i="3"/>
  <c r="DJ73" i="3"/>
  <c r="DI73" i="3"/>
  <c r="DH73" i="3"/>
  <c r="DG73" i="3"/>
  <c r="DF73" i="3"/>
  <c r="DC73" i="3"/>
  <c r="DB73" i="3"/>
  <c r="DA73" i="3"/>
  <c r="CZ73" i="3"/>
  <c r="CY73" i="3"/>
  <c r="CX73" i="3"/>
  <c r="Y73" i="3"/>
  <c r="A73" i="3"/>
  <c r="DJ72" i="3"/>
  <c r="DI72" i="3"/>
  <c r="DH72" i="3"/>
  <c r="DG72" i="3"/>
  <c r="DF72" i="3"/>
  <c r="DC72" i="3"/>
  <c r="DB72" i="3"/>
  <c r="DA72" i="3"/>
  <c r="CZ72" i="3"/>
  <c r="CY72" i="3"/>
  <c r="CX72" i="3"/>
  <c r="Y72" i="3"/>
  <c r="A72" i="3"/>
  <c r="DJ71" i="3"/>
  <c r="DI71" i="3"/>
  <c r="DH71" i="3"/>
  <c r="DG71" i="3"/>
  <c r="DF71" i="3"/>
  <c r="DC71" i="3"/>
  <c r="DB71" i="3"/>
  <c r="DA71" i="3"/>
  <c r="CZ71" i="3"/>
  <c r="CY71" i="3"/>
  <c r="CX71" i="3"/>
  <c r="Y71" i="3"/>
  <c r="A71" i="3"/>
  <c r="DJ70" i="3"/>
  <c r="DI70" i="3"/>
  <c r="DH70" i="3"/>
  <c r="DG70" i="3"/>
  <c r="DF70" i="3"/>
  <c r="DC70" i="3"/>
  <c r="DB70" i="3"/>
  <c r="DA70" i="3"/>
  <c r="CZ70" i="3"/>
  <c r="CY70" i="3"/>
  <c r="CX70" i="3"/>
  <c r="CW70" i="3"/>
  <c r="Y70" i="3"/>
  <c r="A70" i="3"/>
  <c r="DJ69" i="3"/>
  <c r="DI69" i="3"/>
  <c r="DH69" i="3"/>
  <c r="DG69" i="3"/>
  <c r="DF69" i="3"/>
  <c r="DC69" i="3"/>
  <c r="DB69" i="3"/>
  <c r="DA69" i="3"/>
  <c r="CZ69" i="3"/>
  <c r="CY69" i="3"/>
  <c r="CX69" i="3"/>
  <c r="CW69" i="3"/>
  <c r="Y69" i="3"/>
  <c r="A69" i="3"/>
  <c r="DJ68" i="3"/>
  <c r="DI68" i="3"/>
  <c r="DH68" i="3"/>
  <c r="DG68" i="3"/>
  <c r="DF68" i="3"/>
  <c r="DC68" i="3"/>
  <c r="DB68" i="3"/>
  <c r="DA68" i="3"/>
  <c r="CZ68" i="3"/>
  <c r="CY68" i="3"/>
  <c r="CX68" i="3"/>
  <c r="CW68" i="3"/>
  <c r="Y68" i="3"/>
  <c r="A68" i="3"/>
  <c r="DJ67" i="3"/>
  <c r="DI67" i="3"/>
  <c r="DH67" i="3"/>
  <c r="DG67" i="3"/>
  <c r="DF67" i="3"/>
  <c r="DC67" i="3"/>
  <c r="DB67" i="3"/>
  <c r="DA67" i="3"/>
  <c r="CZ67" i="3"/>
  <c r="CY67" i="3"/>
  <c r="CX67" i="3"/>
  <c r="Y67" i="3"/>
  <c r="A67" i="3"/>
  <c r="DJ66" i="3"/>
  <c r="DI66" i="3"/>
  <c r="DH66" i="3"/>
  <c r="DG66" i="3"/>
  <c r="DF66" i="3"/>
  <c r="DC66" i="3"/>
  <c r="DB66" i="3"/>
  <c r="DA66" i="3"/>
  <c r="CZ66" i="3"/>
  <c r="CY66" i="3"/>
  <c r="CX66" i="3"/>
  <c r="CV66" i="3"/>
  <c r="CU66" i="3"/>
  <c r="Y66" i="3"/>
  <c r="A66" i="3"/>
  <c r="DJ65" i="3"/>
  <c r="DI65" i="3"/>
  <c r="DH65" i="3"/>
  <c r="DG65" i="3"/>
  <c r="DF65" i="3"/>
  <c r="DC65" i="3"/>
  <c r="DB65" i="3"/>
  <c r="DA65" i="3"/>
  <c r="CZ65" i="3"/>
  <c r="CY65" i="3"/>
  <c r="CX65" i="3"/>
  <c r="CW65" i="3"/>
  <c r="Y65" i="3"/>
  <c r="A65" i="3"/>
  <c r="DJ64" i="3"/>
  <c r="DI64" i="3"/>
  <c r="DH64" i="3"/>
  <c r="DG64" i="3"/>
  <c r="DF64" i="3"/>
  <c r="DC64" i="3"/>
  <c r="DB64" i="3"/>
  <c r="DA64" i="3"/>
  <c r="CZ64" i="3"/>
  <c r="CY64" i="3"/>
  <c r="CX64" i="3"/>
  <c r="Y64" i="3"/>
  <c r="A64" i="3"/>
  <c r="DJ63" i="3"/>
  <c r="DI63" i="3"/>
  <c r="DH63" i="3"/>
  <c r="DG63" i="3"/>
  <c r="DF63" i="3"/>
  <c r="DC63" i="3"/>
  <c r="DB63" i="3"/>
  <c r="DA63" i="3"/>
  <c r="CZ63" i="3"/>
  <c r="CY63" i="3"/>
  <c r="CX63" i="3"/>
  <c r="CV63" i="3"/>
  <c r="CU63" i="3"/>
  <c r="Y63" i="3"/>
  <c r="A63" i="3"/>
  <c r="DJ62" i="3"/>
  <c r="DI62" i="3"/>
  <c r="DH62" i="3"/>
  <c r="DG62" i="3"/>
  <c r="DF62" i="3"/>
  <c r="DC62" i="3"/>
  <c r="DB62" i="3"/>
  <c r="DA62" i="3"/>
  <c r="CZ62" i="3"/>
  <c r="CY62" i="3"/>
  <c r="CX62" i="3"/>
  <c r="Y62" i="3"/>
  <c r="A62" i="3"/>
  <c r="DJ61" i="3"/>
  <c r="DI61" i="3"/>
  <c r="DH61" i="3"/>
  <c r="DG61" i="3"/>
  <c r="DF61" i="3"/>
  <c r="DC61" i="3"/>
  <c r="DB61" i="3"/>
  <c r="DA61" i="3"/>
  <c r="CZ61" i="3"/>
  <c r="CY61" i="3"/>
  <c r="CX61" i="3"/>
  <c r="Y61" i="3"/>
  <c r="A61" i="3"/>
  <c r="DJ60" i="3"/>
  <c r="DI60" i="3"/>
  <c r="DH60" i="3"/>
  <c r="DG60" i="3"/>
  <c r="DF60" i="3"/>
  <c r="DC60" i="3"/>
  <c r="DB60" i="3"/>
  <c r="DA60" i="3"/>
  <c r="CZ60" i="3"/>
  <c r="CY60" i="3"/>
  <c r="CX60" i="3"/>
  <c r="Y60" i="3"/>
  <c r="A60" i="3"/>
  <c r="DJ59" i="3"/>
  <c r="DI59" i="3"/>
  <c r="DH59" i="3"/>
  <c r="DG59" i="3"/>
  <c r="DF59" i="3"/>
  <c r="DC59" i="3"/>
  <c r="DB59" i="3"/>
  <c r="DA59" i="3"/>
  <c r="CZ59" i="3"/>
  <c r="CY59" i="3"/>
  <c r="CX59" i="3"/>
  <c r="Y59" i="3"/>
  <c r="A59" i="3"/>
  <c r="DJ58" i="3"/>
  <c r="DI58" i="3"/>
  <c r="DH58" i="3"/>
  <c r="DG58" i="3"/>
  <c r="DF58" i="3"/>
  <c r="DC58" i="3"/>
  <c r="DB58" i="3"/>
  <c r="DA58" i="3"/>
  <c r="CZ58" i="3"/>
  <c r="CY58" i="3"/>
  <c r="CX58" i="3"/>
  <c r="Y58" i="3"/>
  <c r="A58" i="3"/>
  <c r="DJ57" i="3"/>
  <c r="DI57" i="3"/>
  <c r="DH57" i="3"/>
  <c r="DG57" i="3"/>
  <c r="DF57" i="3"/>
  <c r="DC57" i="3"/>
  <c r="DB57" i="3"/>
  <c r="DA57" i="3"/>
  <c r="CZ57" i="3"/>
  <c r="CY57" i="3"/>
  <c r="CX57" i="3"/>
  <c r="Y57" i="3"/>
  <c r="A57" i="3"/>
  <c r="DJ56" i="3"/>
  <c r="DI56" i="3"/>
  <c r="DH56" i="3"/>
  <c r="DG56" i="3"/>
  <c r="DF56" i="3"/>
  <c r="DC56" i="3"/>
  <c r="DB56" i="3"/>
  <c r="DA56" i="3"/>
  <c r="CZ56" i="3"/>
  <c r="CY56" i="3"/>
  <c r="CX56" i="3"/>
  <c r="Y56" i="3"/>
  <c r="A56" i="3"/>
  <c r="DJ55" i="3"/>
  <c r="DI55" i="3"/>
  <c r="DH55" i="3"/>
  <c r="DG55" i="3"/>
  <c r="DF55" i="3"/>
  <c r="DC55" i="3"/>
  <c r="DB55" i="3"/>
  <c r="DA55" i="3"/>
  <c r="CZ55" i="3"/>
  <c r="CY55" i="3"/>
  <c r="CX55" i="3"/>
  <c r="CW55" i="3"/>
  <c r="Y55" i="3"/>
  <c r="A55" i="3"/>
  <c r="DJ54" i="3"/>
  <c r="DI54" i="3"/>
  <c r="DH54" i="3"/>
  <c r="DG54" i="3"/>
  <c r="DF54" i="3"/>
  <c r="DC54" i="3"/>
  <c r="DB54" i="3"/>
  <c r="DA54" i="3"/>
  <c r="CZ54" i="3"/>
  <c r="CY54" i="3"/>
  <c r="CX54" i="3"/>
  <c r="CW54" i="3"/>
  <c r="Y54" i="3"/>
  <c r="A54" i="3"/>
  <c r="DJ53" i="3"/>
  <c r="DI53" i="3"/>
  <c r="DH53" i="3"/>
  <c r="DG53" i="3"/>
  <c r="DF53" i="3"/>
  <c r="DC53" i="3"/>
  <c r="DB53" i="3"/>
  <c r="DA53" i="3"/>
  <c r="CZ53" i="3"/>
  <c r="CY53" i="3"/>
  <c r="CX53" i="3"/>
  <c r="CW53" i="3"/>
  <c r="Y53" i="3"/>
  <c r="A53" i="3"/>
  <c r="DJ52" i="3"/>
  <c r="DI52" i="3"/>
  <c r="DH52" i="3"/>
  <c r="DG52" i="3"/>
  <c r="DF52" i="3"/>
  <c r="DC52" i="3"/>
  <c r="DB52" i="3"/>
  <c r="DA52" i="3"/>
  <c r="CZ52" i="3"/>
  <c r="CY52" i="3"/>
  <c r="CX52" i="3"/>
  <c r="CW52" i="3"/>
  <c r="Y52" i="3"/>
  <c r="A52" i="3"/>
  <c r="DJ51" i="3"/>
  <c r="DI51" i="3"/>
  <c r="DH51" i="3"/>
  <c r="DG51" i="3"/>
  <c r="DF51" i="3"/>
  <c r="DC51" i="3"/>
  <c r="DB51" i="3"/>
  <c r="DA51" i="3"/>
  <c r="CZ51" i="3"/>
  <c r="CY51" i="3"/>
  <c r="CX51" i="3"/>
  <c r="Y51" i="3"/>
  <c r="A51" i="3"/>
  <c r="DJ50" i="3"/>
  <c r="DI50" i="3"/>
  <c r="DH50" i="3"/>
  <c r="DG50" i="3"/>
  <c r="DF50" i="3"/>
  <c r="DC50" i="3"/>
  <c r="DB50" i="3"/>
  <c r="DA50" i="3"/>
  <c r="CZ50" i="3"/>
  <c r="CY50" i="3"/>
  <c r="CX50" i="3"/>
  <c r="CV50" i="3"/>
  <c r="CU50" i="3"/>
  <c r="Y50" i="3"/>
  <c r="A50" i="3"/>
  <c r="DJ49" i="3"/>
  <c r="DI49" i="3"/>
  <c r="DH49" i="3"/>
  <c r="DG49" i="3"/>
  <c r="DF49" i="3"/>
  <c r="DC49" i="3"/>
  <c r="DB49" i="3"/>
  <c r="DA49" i="3"/>
  <c r="CZ49" i="3"/>
  <c r="CY49" i="3"/>
  <c r="CX49" i="3"/>
  <c r="Y49" i="3"/>
  <c r="A49" i="3"/>
  <c r="DJ48" i="3"/>
  <c r="DI48" i="3"/>
  <c r="DH48" i="3"/>
  <c r="DG48" i="3"/>
  <c r="DF48" i="3"/>
  <c r="DC48" i="3"/>
  <c r="DB48" i="3"/>
  <c r="DA48" i="3"/>
  <c r="CZ48" i="3"/>
  <c r="CY48" i="3"/>
  <c r="CX48" i="3"/>
  <c r="Y48" i="3"/>
  <c r="A48" i="3"/>
  <c r="DJ47" i="3"/>
  <c r="DI47" i="3"/>
  <c r="DH47" i="3"/>
  <c r="DG47" i="3"/>
  <c r="DF47" i="3"/>
  <c r="DC47" i="3"/>
  <c r="DB47" i="3"/>
  <c r="DA47" i="3"/>
  <c r="CZ47" i="3"/>
  <c r="CY47" i="3"/>
  <c r="CX47" i="3"/>
  <c r="Y47" i="3"/>
  <c r="A47" i="3"/>
  <c r="DJ46" i="3"/>
  <c r="DI46" i="3"/>
  <c r="DH46" i="3"/>
  <c r="DG46" i="3"/>
  <c r="DF46" i="3"/>
  <c r="DC46" i="3"/>
  <c r="DB46" i="3"/>
  <c r="DA46" i="3"/>
  <c r="CZ46" i="3"/>
  <c r="CY46" i="3"/>
  <c r="CX46" i="3"/>
  <c r="Y46" i="3"/>
  <c r="A46" i="3"/>
  <c r="DJ45" i="3"/>
  <c r="DI45" i="3"/>
  <c r="DH45" i="3"/>
  <c r="DG45" i="3"/>
  <c r="DF45" i="3"/>
  <c r="DC45" i="3"/>
  <c r="DB45" i="3"/>
  <c r="DA45" i="3"/>
  <c r="CZ45" i="3"/>
  <c r="CY45" i="3"/>
  <c r="CX45" i="3"/>
  <c r="Y45" i="3"/>
  <c r="A45" i="3"/>
  <c r="DJ44" i="3"/>
  <c r="DI44" i="3"/>
  <c r="DH44" i="3"/>
  <c r="DG44" i="3"/>
  <c r="DF44" i="3"/>
  <c r="DC44" i="3"/>
  <c r="DB44" i="3"/>
  <c r="DA44" i="3"/>
  <c r="CZ44" i="3"/>
  <c r="CY44" i="3"/>
  <c r="CX44" i="3"/>
  <c r="Y44" i="3"/>
  <c r="A44" i="3"/>
  <c r="DJ43" i="3"/>
  <c r="DI43" i="3"/>
  <c r="DH43" i="3"/>
  <c r="DG43" i="3"/>
  <c r="DF43" i="3"/>
  <c r="DC43" i="3"/>
  <c r="DB43" i="3"/>
  <c r="DA43" i="3"/>
  <c r="CZ43" i="3"/>
  <c r="CY43" i="3"/>
  <c r="CX43" i="3"/>
  <c r="CW43" i="3"/>
  <c r="Y43" i="3"/>
  <c r="A43" i="3"/>
  <c r="DJ42" i="3"/>
  <c r="DI42" i="3"/>
  <c r="DH42" i="3"/>
  <c r="DG42" i="3"/>
  <c r="DF42" i="3"/>
  <c r="DC42" i="3"/>
  <c r="DB42" i="3"/>
  <c r="DA42" i="3"/>
  <c r="CZ42" i="3"/>
  <c r="CY42" i="3"/>
  <c r="CX42" i="3"/>
  <c r="CW42" i="3"/>
  <c r="Y42" i="3"/>
  <c r="A42" i="3"/>
  <c r="DJ41" i="3"/>
  <c r="DI41" i="3"/>
  <c r="DH41" i="3"/>
  <c r="DG41" i="3"/>
  <c r="DF41" i="3"/>
  <c r="DC41" i="3"/>
  <c r="DB41" i="3"/>
  <c r="DA41" i="3"/>
  <c r="CZ41" i="3"/>
  <c r="CY41" i="3"/>
  <c r="CX41" i="3"/>
  <c r="Y41" i="3"/>
  <c r="A41" i="3"/>
  <c r="DJ40" i="3"/>
  <c r="DI40" i="3"/>
  <c r="DH40" i="3"/>
  <c r="DG40" i="3"/>
  <c r="DF40" i="3"/>
  <c r="DC40" i="3"/>
  <c r="DB40" i="3"/>
  <c r="DA40" i="3"/>
  <c r="CZ40" i="3"/>
  <c r="CY40" i="3"/>
  <c r="CX40" i="3"/>
  <c r="CV40" i="3"/>
  <c r="CU40" i="3"/>
  <c r="Y40" i="3"/>
  <c r="A40" i="3"/>
  <c r="DJ39" i="3"/>
  <c r="DI39" i="3"/>
  <c r="DH39" i="3"/>
  <c r="DG39" i="3"/>
  <c r="DF39" i="3"/>
  <c r="DC39" i="3"/>
  <c r="DB39" i="3"/>
  <c r="DA39" i="3"/>
  <c r="CZ39" i="3"/>
  <c r="CY39" i="3"/>
  <c r="CX39" i="3"/>
  <c r="Y39" i="3"/>
  <c r="A39" i="3"/>
  <c r="DJ38" i="3"/>
  <c r="DI38" i="3"/>
  <c r="DH38" i="3"/>
  <c r="DG38" i="3"/>
  <c r="DF38" i="3"/>
  <c r="DC38" i="3"/>
  <c r="DB38" i="3"/>
  <c r="DA38" i="3"/>
  <c r="CZ38" i="3"/>
  <c r="CY38" i="3"/>
  <c r="CX38" i="3"/>
  <c r="Y38" i="3"/>
  <c r="A38" i="3"/>
  <c r="DJ37" i="3"/>
  <c r="DI37" i="3"/>
  <c r="DH37" i="3"/>
  <c r="DG37" i="3"/>
  <c r="DF37" i="3"/>
  <c r="DC37" i="3"/>
  <c r="DB37" i="3"/>
  <c r="DA37" i="3"/>
  <c r="CZ37" i="3"/>
  <c r="CY37" i="3"/>
  <c r="CX37" i="3"/>
  <c r="Y37" i="3"/>
  <c r="A37" i="3"/>
  <c r="DJ36" i="3"/>
  <c r="DI36" i="3"/>
  <c r="DH36" i="3"/>
  <c r="DG36" i="3"/>
  <c r="DF36" i="3"/>
  <c r="DC36" i="3"/>
  <c r="DB36" i="3"/>
  <c r="DA36" i="3"/>
  <c r="CZ36" i="3"/>
  <c r="CY36" i="3"/>
  <c r="CX36" i="3"/>
  <c r="CW36" i="3"/>
  <c r="Y36" i="3"/>
  <c r="A36" i="3"/>
  <c r="DJ35" i="3"/>
  <c r="DI35" i="3"/>
  <c r="DH35" i="3"/>
  <c r="DG35" i="3"/>
  <c r="DF35" i="3"/>
  <c r="DC35" i="3"/>
  <c r="DB35" i="3"/>
  <c r="DA35" i="3"/>
  <c r="CZ35" i="3"/>
  <c r="CY35" i="3"/>
  <c r="CX35" i="3"/>
  <c r="CW35" i="3"/>
  <c r="Y35" i="3"/>
  <c r="A35" i="3"/>
  <c r="DJ34" i="3"/>
  <c r="DI34" i="3"/>
  <c r="DH34" i="3"/>
  <c r="DG34" i="3"/>
  <c r="DF34" i="3"/>
  <c r="DC34" i="3"/>
  <c r="DB34" i="3"/>
  <c r="DA34" i="3"/>
  <c r="CZ34" i="3"/>
  <c r="CY34" i="3"/>
  <c r="CX34" i="3"/>
  <c r="Y34" i="3"/>
  <c r="A34" i="3"/>
  <c r="DJ33" i="3"/>
  <c r="DI33" i="3"/>
  <c r="DH33" i="3"/>
  <c r="DG33" i="3"/>
  <c r="DF33" i="3"/>
  <c r="DC33" i="3"/>
  <c r="DB33" i="3"/>
  <c r="DA33" i="3"/>
  <c r="CZ33" i="3"/>
  <c r="CY33" i="3"/>
  <c r="CX33" i="3"/>
  <c r="CV33" i="3"/>
  <c r="CU33" i="3"/>
  <c r="Y33" i="3"/>
  <c r="A33" i="3"/>
  <c r="DJ32" i="3"/>
  <c r="DI32" i="3"/>
  <c r="DH32" i="3"/>
  <c r="DG32" i="3"/>
  <c r="DF32" i="3"/>
  <c r="DC32" i="3"/>
  <c r="DB32" i="3"/>
  <c r="DA32" i="3"/>
  <c r="CZ32" i="3"/>
  <c r="CY32" i="3"/>
  <c r="CX32" i="3"/>
  <c r="Y32" i="3"/>
  <c r="A32" i="3"/>
  <c r="DJ31" i="3"/>
  <c r="DI31" i="3"/>
  <c r="DH31" i="3"/>
  <c r="DG31" i="3"/>
  <c r="DF31" i="3"/>
  <c r="DC31" i="3"/>
  <c r="DB31" i="3"/>
  <c r="DA31" i="3"/>
  <c r="CZ31" i="3"/>
  <c r="CY31" i="3"/>
  <c r="CX31" i="3"/>
  <c r="Y31" i="3"/>
  <c r="A31" i="3"/>
  <c r="DJ30" i="3"/>
  <c r="DI30" i="3"/>
  <c r="DH30" i="3"/>
  <c r="DG30" i="3"/>
  <c r="DF30" i="3"/>
  <c r="DC30" i="3"/>
  <c r="DB30" i="3"/>
  <c r="DA30" i="3"/>
  <c r="CZ30" i="3"/>
  <c r="CY30" i="3"/>
  <c r="CX30" i="3"/>
  <c r="CW30" i="3"/>
  <c r="Y30" i="3"/>
  <c r="A30" i="3"/>
  <c r="DJ29" i="3"/>
  <c r="DI29" i="3"/>
  <c r="DH29" i="3"/>
  <c r="DG29" i="3"/>
  <c r="DF29" i="3"/>
  <c r="DC29" i="3"/>
  <c r="DB29" i="3"/>
  <c r="DA29" i="3"/>
  <c r="CZ29" i="3"/>
  <c r="CY29" i="3"/>
  <c r="CX29" i="3"/>
  <c r="CW29" i="3"/>
  <c r="Y29" i="3"/>
  <c r="A29" i="3"/>
  <c r="DJ28" i="3"/>
  <c r="DI28" i="3"/>
  <c r="DH28" i="3"/>
  <c r="DG28" i="3"/>
  <c r="DF28" i="3"/>
  <c r="DC28" i="3"/>
  <c r="DB28" i="3"/>
  <c r="DA28" i="3"/>
  <c r="CZ28" i="3"/>
  <c r="CY28" i="3"/>
  <c r="CX28" i="3"/>
  <c r="CW28" i="3"/>
  <c r="Y28" i="3"/>
  <c r="A28" i="3"/>
  <c r="DJ27" i="3"/>
  <c r="DI27" i="3"/>
  <c r="DH27" i="3"/>
  <c r="DG27" i="3"/>
  <c r="DF27" i="3"/>
  <c r="DC27" i="3"/>
  <c r="DB27" i="3"/>
  <c r="DA27" i="3"/>
  <c r="CZ27" i="3"/>
  <c r="CY27" i="3"/>
  <c r="CX27" i="3"/>
  <c r="CW27" i="3"/>
  <c r="Y27" i="3"/>
  <c r="A27" i="3"/>
  <c r="DJ26" i="3"/>
  <c r="DI26" i="3"/>
  <c r="DH26" i="3"/>
  <c r="DG26" i="3"/>
  <c r="DF26" i="3"/>
  <c r="DC26" i="3"/>
  <c r="DB26" i="3"/>
  <c r="DA26" i="3"/>
  <c r="CZ26" i="3"/>
  <c r="CY26" i="3"/>
  <c r="CX26" i="3"/>
  <c r="Y26" i="3"/>
  <c r="A26" i="3"/>
  <c r="DJ25" i="3"/>
  <c r="DI25" i="3"/>
  <c r="DH25" i="3"/>
  <c r="DG25" i="3"/>
  <c r="DF25" i="3"/>
  <c r="DC25" i="3"/>
  <c r="DB25" i="3"/>
  <c r="DA25" i="3"/>
  <c r="CZ25" i="3"/>
  <c r="CY25" i="3"/>
  <c r="CX25" i="3"/>
  <c r="CV25" i="3"/>
  <c r="CU25" i="3"/>
  <c r="Y25" i="3"/>
  <c r="A25" i="3"/>
  <c r="DJ24" i="3"/>
  <c r="DI24" i="3"/>
  <c r="DH24" i="3"/>
  <c r="DG24" i="3"/>
  <c r="DF24" i="3"/>
  <c r="DC24" i="3"/>
  <c r="DB24" i="3"/>
  <c r="DA24" i="3"/>
  <c r="CZ24" i="3"/>
  <c r="CY24" i="3"/>
  <c r="CX24" i="3"/>
  <c r="Y24" i="3"/>
  <c r="A24" i="3"/>
  <c r="DJ23" i="3"/>
  <c r="DI23" i="3"/>
  <c r="DH23" i="3"/>
  <c r="DG23" i="3"/>
  <c r="DF23" i="3"/>
  <c r="DC23" i="3"/>
  <c r="DB23" i="3"/>
  <c r="DA23" i="3"/>
  <c r="CZ23" i="3"/>
  <c r="CY23" i="3"/>
  <c r="CX23" i="3"/>
  <c r="Y23" i="3"/>
  <c r="A23" i="3"/>
  <c r="DJ22" i="3"/>
  <c r="DI22" i="3"/>
  <c r="DH22" i="3"/>
  <c r="DG22" i="3"/>
  <c r="DF22" i="3"/>
  <c r="DC22" i="3"/>
  <c r="DB22" i="3"/>
  <c r="DA22" i="3"/>
  <c r="CZ22" i="3"/>
  <c r="CY22" i="3"/>
  <c r="CX22" i="3"/>
  <c r="Y22" i="3"/>
  <c r="A22" i="3"/>
  <c r="DJ21" i="3"/>
  <c r="DI21" i="3"/>
  <c r="DH21" i="3"/>
  <c r="DG21" i="3"/>
  <c r="DF21" i="3"/>
  <c r="DC21" i="3"/>
  <c r="DB21" i="3"/>
  <c r="DA21" i="3"/>
  <c r="CZ21" i="3"/>
  <c r="CY21" i="3"/>
  <c r="CX21" i="3"/>
  <c r="Y21" i="3"/>
  <c r="A21" i="3"/>
  <c r="DJ20" i="3"/>
  <c r="DI20" i="3"/>
  <c r="DH20" i="3"/>
  <c r="DG20" i="3"/>
  <c r="DF20" i="3"/>
  <c r="DC20" i="3"/>
  <c r="DB20" i="3"/>
  <c r="DA20" i="3"/>
  <c r="CZ20" i="3"/>
  <c r="CY20" i="3"/>
  <c r="CX20" i="3"/>
  <c r="Y20" i="3"/>
  <c r="A20" i="3"/>
  <c r="DJ19" i="3"/>
  <c r="DI19" i="3"/>
  <c r="DH19" i="3"/>
  <c r="DG19" i="3"/>
  <c r="DF19" i="3"/>
  <c r="DC19" i="3"/>
  <c r="DB19" i="3"/>
  <c r="DA19" i="3"/>
  <c r="CZ19" i="3"/>
  <c r="CY19" i="3"/>
  <c r="CX19" i="3"/>
  <c r="Y19" i="3"/>
  <c r="A19" i="3"/>
  <c r="DJ18" i="3"/>
  <c r="DI18" i="3"/>
  <c r="DH18" i="3"/>
  <c r="DG18" i="3"/>
  <c r="DF18" i="3"/>
  <c r="DC18" i="3"/>
  <c r="DB18" i="3"/>
  <c r="DA18" i="3"/>
  <c r="CZ18" i="3"/>
  <c r="CY18" i="3"/>
  <c r="CX18" i="3"/>
  <c r="CW18" i="3"/>
  <c r="Y18" i="3"/>
  <c r="A18" i="3"/>
  <c r="DJ17" i="3"/>
  <c r="DI17" i="3"/>
  <c r="DH17" i="3"/>
  <c r="DG17" i="3"/>
  <c r="DF17" i="3"/>
  <c r="DC17" i="3"/>
  <c r="DB17" i="3"/>
  <c r="DA17" i="3"/>
  <c r="CZ17" i="3"/>
  <c r="CY17" i="3"/>
  <c r="CX17" i="3"/>
  <c r="CW17" i="3"/>
  <c r="Y17" i="3"/>
  <c r="A17" i="3"/>
  <c r="DJ16" i="3"/>
  <c r="DI16" i="3"/>
  <c r="DH16" i="3"/>
  <c r="DG16" i="3"/>
  <c r="DF16" i="3"/>
  <c r="DC16" i="3"/>
  <c r="DB16" i="3"/>
  <c r="DA16" i="3"/>
  <c r="CZ16" i="3"/>
  <c r="CY16" i="3"/>
  <c r="CX16" i="3"/>
  <c r="CW16" i="3"/>
  <c r="Y16" i="3"/>
  <c r="A16" i="3"/>
  <c r="DJ15" i="3"/>
  <c r="DI15" i="3"/>
  <c r="DH15" i="3"/>
  <c r="DG15" i="3"/>
  <c r="DF15" i="3"/>
  <c r="DC15" i="3"/>
  <c r="DB15" i="3"/>
  <c r="DA15" i="3"/>
  <c r="CZ15" i="3"/>
  <c r="CY15" i="3"/>
  <c r="CX15" i="3"/>
  <c r="CW15" i="3"/>
  <c r="Y15" i="3"/>
  <c r="A15" i="3"/>
  <c r="DJ14" i="3"/>
  <c r="DI14" i="3"/>
  <c r="DH14" i="3"/>
  <c r="DG14" i="3"/>
  <c r="DF14" i="3"/>
  <c r="DC14" i="3"/>
  <c r="DB14" i="3"/>
  <c r="DA14" i="3"/>
  <c r="CZ14" i="3"/>
  <c r="CY14" i="3"/>
  <c r="CX14" i="3"/>
  <c r="Y14" i="3"/>
  <c r="A14" i="3"/>
  <c r="DJ13" i="3"/>
  <c r="DI13" i="3"/>
  <c r="DH13" i="3"/>
  <c r="DG13" i="3"/>
  <c r="DF13" i="3"/>
  <c r="DC13" i="3"/>
  <c r="DB13" i="3"/>
  <c r="DA13" i="3"/>
  <c r="CZ13" i="3"/>
  <c r="CY13" i="3"/>
  <c r="CX13" i="3"/>
  <c r="CV13" i="3"/>
  <c r="CU13" i="3"/>
  <c r="Y13" i="3"/>
  <c r="A13" i="3"/>
  <c r="DJ12" i="3"/>
  <c r="DI12" i="3"/>
  <c r="DH12" i="3"/>
  <c r="DG12" i="3"/>
  <c r="DF12" i="3"/>
  <c r="DC12" i="3"/>
  <c r="DB12" i="3"/>
  <c r="DA12" i="3"/>
  <c r="CZ12" i="3"/>
  <c r="CY12" i="3"/>
  <c r="CX12" i="3"/>
  <c r="Y12" i="3"/>
  <c r="A12" i="3"/>
  <c r="DJ11" i="3"/>
  <c r="DI11" i="3"/>
  <c r="DH11" i="3"/>
  <c r="DG11" i="3"/>
  <c r="DF11" i="3"/>
  <c r="DC11" i="3"/>
  <c r="DB11" i="3"/>
  <c r="DA11" i="3"/>
  <c r="CZ11" i="3"/>
  <c r="CY11" i="3"/>
  <c r="CX11" i="3"/>
  <c r="Y11" i="3"/>
  <c r="A11" i="3"/>
  <c r="DJ10" i="3"/>
  <c r="DI10" i="3"/>
  <c r="DH10" i="3"/>
  <c r="DG10" i="3"/>
  <c r="DF10" i="3"/>
  <c r="DC10" i="3"/>
  <c r="DB10" i="3"/>
  <c r="DA10" i="3"/>
  <c r="CZ10" i="3"/>
  <c r="CY10" i="3"/>
  <c r="CX10" i="3"/>
  <c r="Y10" i="3"/>
  <c r="A10" i="3"/>
  <c r="DJ9" i="3"/>
  <c r="DI9" i="3"/>
  <c r="DH9" i="3"/>
  <c r="DG9" i="3"/>
  <c r="DF9" i="3"/>
  <c r="DC9" i="3"/>
  <c r="DB9" i="3"/>
  <c r="DA9" i="3"/>
  <c r="CZ9" i="3"/>
  <c r="CY9" i="3"/>
  <c r="CX9" i="3"/>
  <c r="Y9" i="3"/>
  <c r="A9" i="3"/>
  <c r="DJ8" i="3"/>
  <c r="DI8" i="3"/>
  <c r="DH8" i="3"/>
  <c r="DG8" i="3"/>
  <c r="DF8" i="3"/>
  <c r="DC8" i="3"/>
  <c r="DB8" i="3"/>
  <c r="DA8" i="3"/>
  <c r="CZ8" i="3"/>
  <c r="CY8" i="3"/>
  <c r="CX8" i="3"/>
  <c r="CW8" i="3"/>
  <c r="Y8" i="3"/>
  <c r="A8" i="3"/>
  <c r="DJ7" i="3"/>
  <c r="DI7" i="3"/>
  <c r="DH7" i="3"/>
  <c r="DG7" i="3"/>
  <c r="DF7" i="3"/>
  <c r="DC7" i="3"/>
  <c r="DB7" i="3"/>
  <c r="DA7" i="3"/>
  <c r="CZ7" i="3"/>
  <c r="CY7" i="3"/>
  <c r="CX7" i="3"/>
  <c r="Y7" i="3"/>
  <c r="A7" i="3"/>
  <c r="DJ6" i="3"/>
  <c r="DI6" i="3"/>
  <c r="DH6" i="3"/>
  <c r="DG6" i="3"/>
  <c r="DF6" i="3"/>
  <c r="DC6" i="3"/>
  <c r="DB6" i="3"/>
  <c r="DA6" i="3"/>
  <c r="CZ6" i="3"/>
  <c r="CY6" i="3"/>
  <c r="CX6" i="3"/>
  <c r="CV6" i="3"/>
  <c r="CU6" i="3"/>
  <c r="Y6" i="3"/>
  <c r="A6" i="3"/>
  <c r="DJ5" i="3"/>
  <c r="DI5" i="3"/>
  <c r="DH5" i="3"/>
  <c r="DG5" i="3"/>
  <c r="DF5" i="3"/>
  <c r="DC5" i="3"/>
  <c r="DB5" i="3"/>
  <c r="DA5" i="3"/>
  <c r="CZ5" i="3"/>
  <c r="CY5" i="3"/>
  <c r="CX5" i="3"/>
  <c r="Y5" i="3"/>
  <c r="A5" i="3"/>
  <c r="DJ4" i="3"/>
  <c r="DI4" i="3"/>
  <c r="DH4" i="3"/>
  <c r="DG4" i="3"/>
  <c r="DF4" i="3"/>
  <c r="DC4" i="3"/>
  <c r="DB4" i="3"/>
  <c r="DA4" i="3"/>
  <c r="CZ4" i="3"/>
  <c r="CY4" i="3"/>
  <c r="CX4" i="3"/>
  <c r="CW4" i="3"/>
  <c r="Y4" i="3"/>
  <c r="A4" i="3"/>
  <c r="DJ3" i="3"/>
  <c r="DI3" i="3"/>
  <c r="DH3" i="3"/>
  <c r="DG3" i="3"/>
  <c r="DF3" i="3"/>
  <c r="DC3" i="3"/>
  <c r="DB3" i="3"/>
  <c r="DA3" i="3"/>
  <c r="CZ3" i="3"/>
  <c r="CY3" i="3"/>
  <c r="CX3" i="3"/>
  <c r="CW3" i="3"/>
  <c r="Y3" i="3"/>
  <c r="A3" i="3"/>
  <c r="DJ2" i="3"/>
  <c r="DI2" i="3"/>
  <c r="DH2" i="3"/>
  <c r="DG2" i="3"/>
  <c r="DF2" i="3"/>
  <c r="DC2" i="3"/>
  <c r="DB2" i="3"/>
  <c r="DA2" i="3"/>
  <c r="CZ2" i="3"/>
  <c r="CY2" i="3"/>
  <c r="CX2" i="3"/>
  <c r="Y2" i="3"/>
  <c r="A2" i="3"/>
  <c r="DJ1" i="3"/>
  <c r="DI1" i="3"/>
  <c r="DH1" i="3"/>
  <c r="DG1" i="3"/>
  <c r="DF1" i="3"/>
  <c r="DC1" i="3"/>
  <c r="DB1" i="3"/>
  <c r="DA1" i="3"/>
  <c r="CZ1" i="3"/>
  <c r="CY1" i="3"/>
  <c r="CX1" i="3"/>
  <c r="CV1" i="3"/>
  <c r="CU1" i="3"/>
  <c r="Y1" i="3"/>
  <c r="A1" i="3"/>
  <c r="G16" i="2"/>
  <c r="F262" i="1"/>
  <c r="F253" i="1"/>
  <c r="F250" i="1"/>
  <c r="F246" i="1"/>
  <c r="F241" i="1"/>
  <c r="BD237" i="1"/>
  <c r="BC237" i="1"/>
  <c r="BB237" i="1"/>
  <c r="AP237" i="1"/>
  <c r="AO237" i="1"/>
  <c r="G237" i="1"/>
  <c r="G18" i="1" s="1"/>
  <c r="F237" i="1"/>
  <c r="D237" i="1"/>
  <c r="C237" i="1"/>
  <c r="B237" i="1"/>
  <c r="F232" i="1"/>
  <c r="F223" i="1"/>
  <c r="F220" i="1"/>
  <c r="F216" i="1"/>
  <c r="F211" i="1"/>
  <c r="BD207" i="1"/>
  <c r="BC207" i="1"/>
  <c r="BB207" i="1"/>
  <c r="AP207" i="1"/>
  <c r="AO207" i="1"/>
  <c r="G207" i="1"/>
  <c r="F207" i="1"/>
  <c r="D207" i="1"/>
  <c r="C207" i="1"/>
  <c r="B207" i="1"/>
  <c r="F202" i="1"/>
  <c r="F197" i="1"/>
  <c r="F193" i="1"/>
  <c r="F190" i="1"/>
  <c r="F186" i="1"/>
  <c r="F181" i="1"/>
  <c r="CM177" i="1"/>
  <c r="CL177" i="1"/>
  <c r="CK177" i="1"/>
  <c r="CJ177" i="1"/>
  <c r="BY177" i="1"/>
  <c r="BX177" i="1"/>
  <c r="BD177" i="1"/>
  <c r="BC177" i="1"/>
  <c r="BB177" i="1"/>
  <c r="BA177" i="1"/>
  <c r="AP177" i="1"/>
  <c r="AO177" i="1"/>
  <c r="G177" i="1"/>
  <c r="F177" i="1"/>
  <c r="D177" i="1"/>
  <c r="C177" i="1"/>
  <c r="B177" i="1"/>
  <c r="HD175" i="1"/>
  <c r="GX175" i="1"/>
  <c r="GV175" i="1"/>
  <c r="GP175" i="1"/>
  <c r="GO175" i="1"/>
  <c r="GN175" i="1"/>
  <c r="GM175" i="1"/>
  <c r="GL175" i="1"/>
  <c r="CP175" i="1"/>
  <c r="AJ175" i="1"/>
  <c r="AI175" i="1"/>
  <c r="AH175" i="1"/>
  <c r="AG175" i="1"/>
  <c r="AF175" i="1"/>
  <c r="AE175" i="1"/>
  <c r="AD175" i="1"/>
  <c r="AC175" i="1"/>
  <c r="AB175" i="1"/>
  <c r="Y175" i="1"/>
  <c r="X175" i="1"/>
  <c r="W175" i="1"/>
  <c r="V175" i="1"/>
  <c r="U175" i="1"/>
  <c r="T175" i="1"/>
  <c r="S175" i="1"/>
  <c r="R175" i="1"/>
  <c r="Q175" i="1"/>
  <c r="P175" i="1"/>
  <c r="O175" i="1"/>
  <c r="HD174" i="1"/>
  <c r="GX174" i="1"/>
  <c r="GV174" i="1"/>
  <c r="GP174" i="1"/>
  <c r="GO174" i="1"/>
  <c r="GN174" i="1"/>
  <c r="GM174" i="1"/>
  <c r="GL174" i="1"/>
  <c r="CP174" i="1"/>
  <c r="AJ174" i="1"/>
  <c r="AI174" i="1"/>
  <c r="AH174" i="1"/>
  <c r="AG174" i="1"/>
  <c r="AF174" i="1"/>
  <c r="AE174" i="1"/>
  <c r="AD174" i="1"/>
  <c r="AC174" i="1"/>
  <c r="AB174" i="1"/>
  <c r="Y174" i="1"/>
  <c r="X174" i="1"/>
  <c r="W174" i="1"/>
  <c r="V174" i="1"/>
  <c r="U174" i="1"/>
  <c r="T174" i="1"/>
  <c r="S174" i="1"/>
  <c r="R174" i="1"/>
  <c r="Q174" i="1"/>
  <c r="P174" i="1"/>
  <c r="O174" i="1"/>
  <c r="HC173" i="1"/>
  <c r="GX173" i="1"/>
  <c r="GV173" i="1"/>
  <c r="GP173" i="1"/>
  <c r="CD177" i="1" s="1"/>
  <c r="GO173" i="1"/>
  <c r="CC177" i="1" s="1"/>
  <c r="GL173" i="1"/>
  <c r="BZ177" i="1" s="1"/>
  <c r="CX173" i="1"/>
  <c r="CW173" i="1"/>
  <c r="CV173" i="1"/>
  <c r="CT173" i="1"/>
  <c r="CS173" i="1"/>
  <c r="CR173" i="1"/>
  <c r="CQ173" i="1"/>
  <c r="AJ173" i="1"/>
  <c r="AI173" i="1"/>
  <c r="AH173" i="1"/>
  <c r="AG173" i="1"/>
  <c r="CU173" i="1" s="1"/>
  <c r="T173" i="1" s="1"/>
  <c r="AG177" i="1" s="1"/>
  <c r="AF173" i="1"/>
  <c r="AE173" i="1"/>
  <c r="AD173" i="1"/>
  <c r="AC173" i="1"/>
  <c r="AB173" i="1" s="1"/>
  <c r="W173" i="1"/>
  <c r="AJ177" i="1" s="1"/>
  <c r="V173" i="1"/>
  <c r="AI177" i="1" s="1"/>
  <c r="U173" i="1"/>
  <c r="AH177" i="1" s="1"/>
  <c r="S173" i="1"/>
  <c r="AF177" i="1" s="1"/>
  <c r="R173" i="1"/>
  <c r="AE177" i="1" s="1"/>
  <c r="Q173" i="1"/>
  <c r="AD177" i="1" s="1"/>
  <c r="P173" i="1"/>
  <c r="D173" i="1"/>
  <c r="C173" i="1"/>
  <c r="GX171" i="1"/>
  <c r="GW171" i="1"/>
  <c r="GV171" i="1"/>
  <c r="GU171" i="1"/>
  <c r="GT171" i="1"/>
  <c r="GS171" i="1"/>
  <c r="GR171" i="1"/>
  <c r="GQ171" i="1"/>
  <c r="GP171" i="1"/>
  <c r="GO171" i="1"/>
  <c r="GN171" i="1"/>
  <c r="GM171" i="1"/>
  <c r="GL171" i="1"/>
  <c r="GK171" i="1"/>
  <c r="GJ171" i="1"/>
  <c r="GI171" i="1"/>
  <c r="GH171" i="1"/>
  <c r="GG171" i="1"/>
  <c r="GF171" i="1"/>
  <c r="GE171" i="1"/>
  <c r="GD171" i="1"/>
  <c r="GC171" i="1"/>
  <c r="GB171" i="1"/>
  <c r="GA171" i="1"/>
  <c r="FZ171" i="1"/>
  <c r="FY171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P171" i="1"/>
  <c r="AO171" i="1"/>
  <c r="AN171" i="1"/>
  <c r="AM171" i="1"/>
  <c r="AA171" i="1"/>
  <c r="Z171" i="1"/>
  <c r="G171" i="1"/>
  <c r="F171" i="1"/>
  <c r="E171" i="1"/>
  <c r="D171" i="1"/>
  <c r="C171" i="1"/>
  <c r="B171" i="1"/>
  <c r="D169" i="1"/>
  <c r="F164" i="1"/>
  <c r="F155" i="1"/>
  <c r="F152" i="1"/>
  <c r="F148" i="1"/>
  <c r="F143" i="1"/>
  <c r="CM139" i="1"/>
  <c r="CL139" i="1"/>
  <c r="CK139" i="1"/>
  <c r="BY139" i="1"/>
  <c r="BX139" i="1"/>
  <c r="BD139" i="1"/>
  <c r="BC139" i="1"/>
  <c r="BB139" i="1"/>
  <c r="AP139" i="1"/>
  <c r="AO139" i="1"/>
  <c r="G139" i="1"/>
  <c r="F139" i="1"/>
  <c r="D139" i="1"/>
  <c r="C139" i="1"/>
  <c r="B139" i="1"/>
  <c r="HC137" i="1"/>
  <c r="GX137" i="1"/>
  <c r="GV137" i="1"/>
  <c r="GP137" i="1"/>
  <c r="GO137" i="1"/>
  <c r="GL137" i="1"/>
  <c r="CZ137" i="1"/>
  <c r="CY137" i="1"/>
  <c r="CX137" i="1"/>
  <c r="CW137" i="1"/>
  <c r="CV137" i="1"/>
  <c r="CT137" i="1"/>
  <c r="CS137" i="1"/>
  <c r="CR137" i="1"/>
  <c r="CQ137" i="1"/>
  <c r="AJ137" i="1"/>
  <c r="AI137" i="1"/>
  <c r="AH137" i="1"/>
  <c r="AG137" i="1"/>
  <c r="CU137" i="1" s="1"/>
  <c r="T137" i="1" s="1"/>
  <c r="AF137" i="1"/>
  <c r="AE137" i="1"/>
  <c r="AD137" i="1"/>
  <c r="AC137" i="1"/>
  <c r="AB137" i="1"/>
  <c r="Y137" i="1"/>
  <c r="X137" i="1"/>
  <c r="W137" i="1"/>
  <c r="V137" i="1"/>
  <c r="U137" i="1"/>
  <c r="S137" i="1"/>
  <c r="R137" i="1"/>
  <c r="Q137" i="1"/>
  <c r="P137" i="1"/>
  <c r="CP137" i="1" s="1"/>
  <c r="O137" i="1" s="1"/>
  <c r="GM137" i="1" s="1"/>
  <c r="GN137" i="1" s="1"/>
  <c r="HC136" i="1"/>
  <c r="GX136" i="1"/>
  <c r="GV136" i="1"/>
  <c r="GP136" i="1"/>
  <c r="GO136" i="1"/>
  <c r="GL136" i="1"/>
  <c r="CX136" i="1"/>
  <c r="W136" i="1" s="1"/>
  <c r="CW136" i="1"/>
  <c r="CV136" i="1"/>
  <c r="CU136" i="1"/>
  <c r="T136" i="1" s="1"/>
  <c r="CT136" i="1"/>
  <c r="CS136" i="1"/>
  <c r="CR136" i="1"/>
  <c r="CQ136" i="1"/>
  <c r="AJ136" i="1"/>
  <c r="AI136" i="1"/>
  <c r="AH136" i="1"/>
  <c r="AG136" i="1"/>
  <c r="AF136" i="1"/>
  <c r="AE136" i="1"/>
  <c r="AD136" i="1" s="1"/>
  <c r="AC136" i="1"/>
  <c r="V136" i="1"/>
  <c r="U136" i="1"/>
  <c r="S136" i="1"/>
  <c r="CZ136" i="1" s="1"/>
  <c r="Y136" i="1" s="1"/>
  <c r="R136" i="1"/>
  <c r="Q136" i="1"/>
  <c r="P136" i="1"/>
  <c r="K136" i="1"/>
  <c r="I136" i="1"/>
  <c r="D136" i="1"/>
  <c r="C136" i="1"/>
  <c r="HC135" i="1"/>
  <c r="GV135" i="1"/>
  <c r="GP135" i="1"/>
  <c r="GO135" i="1"/>
  <c r="GL135" i="1"/>
  <c r="CX135" i="1"/>
  <c r="W135" i="1" s="1"/>
  <c r="CW135" i="1"/>
  <c r="CV135" i="1"/>
  <c r="CU135" i="1"/>
  <c r="T135" i="1" s="1"/>
  <c r="CT135" i="1"/>
  <c r="CS135" i="1"/>
  <c r="CR135" i="1"/>
  <c r="CQ135" i="1"/>
  <c r="AJ135" i="1"/>
  <c r="AI135" i="1"/>
  <c r="AH135" i="1"/>
  <c r="AG135" i="1"/>
  <c r="AF135" i="1"/>
  <c r="AE135" i="1"/>
  <c r="AD135" i="1"/>
  <c r="AC135" i="1"/>
  <c r="AB135" i="1"/>
  <c r="P135" i="1"/>
  <c r="I135" i="1"/>
  <c r="GX135" i="1" s="1"/>
  <c r="HC134" i="1"/>
  <c r="GX134" i="1"/>
  <c r="GV134" i="1"/>
  <c r="GP134" i="1"/>
  <c r="GO134" i="1"/>
  <c r="GL134" i="1"/>
  <c r="CX134" i="1"/>
  <c r="W134" i="1" s="1"/>
  <c r="CW134" i="1"/>
  <c r="CV134" i="1"/>
  <c r="CU134" i="1"/>
  <c r="T134" i="1" s="1"/>
  <c r="CT134" i="1"/>
  <c r="CS134" i="1"/>
  <c r="CR134" i="1"/>
  <c r="CQ134" i="1"/>
  <c r="AJ134" i="1"/>
  <c r="AI134" i="1"/>
  <c r="AH134" i="1"/>
  <c r="AG134" i="1"/>
  <c r="AF134" i="1"/>
  <c r="AE134" i="1"/>
  <c r="AD134" i="1" s="1"/>
  <c r="AC134" i="1"/>
  <c r="V134" i="1"/>
  <c r="U134" i="1"/>
  <c r="S134" i="1"/>
  <c r="R134" i="1"/>
  <c r="Q134" i="1"/>
  <c r="P134" i="1"/>
  <c r="CP134" i="1" s="1"/>
  <c r="O134" i="1" s="1"/>
  <c r="D134" i="1"/>
  <c r="C134" i="1"/>
  <c r="HC133" i="1"/>
  <c r="GX133" i="1"/>
  <c r="CJ139" i="1" s="1"/>
  <c r="GV133" i="1"/>
  <c r="GP133" i="1"/>
  <c r="GO133" i="1"/>
  <c r="GL133" i="1"/>
  <c r="CW133" i="1"/>
  <c r="CV133" i="1"/>
  <c r="CT133" i="1"/>
  <c r="CS133" i="1"/>
  <c r="CR133" i="1"/>
  <c r="CQ133" i="1"/>
  <c r="AJ133" i="1"/>
  <c r="CX133" i="1" s="1"/>
  <c r="W133" i="1" s="1"/>
  <c r="AI133" i="1"/>
  <c r="AH133" i="1"/>
  <c r="AG133" i="1"/>
  <c r="CU133" i="1" s="1"/>
  <c r="T133" i="1" s="1"/>
  <c r="AF133" i="1"/>
  <c r="AE133" i="1"/>
  <c r="AD133" i="1"/>
  <c r="AC133" i="1"/>
  <c r="AB133" i="1"/>
  <c r="U133" i="1"/>
  <c r="R133" i="1"/>
  <c r="Q133" i="1"/>
  <c r="I133" i="1"/>
  <c r="S133" i="1" s="1"/>
  <c r="HC132" i="1"/>
  <c r="GX132" i="1"/>
  <c r="GV132" i="1"/>
  <c r="GP132" i="1"/>
  <c r="GO132" i="1"/>
  <c r="GL132" i="1"/>
  <c r="CW132" i="1"/>
  <c r="CV132" i="1"/>
  <c r="CT132" i="1"/>
  <c r="CS132" i="1"/>
  <c r="CR132" i="1"/>
  <c r="CQ132" i="1"/>
  <c r="AJ132" i="1"/>
  <c r="CX132" i="1" s="1"/>
  <c r="W132" i="1" s="1"/>
  <c r="AI132" i="1"/>
  <c r="AH132" i="1"/>
  <c r="AG132" i="1"/>
  <c r="CU132" i="1" s="1"/>
  <c r="T132" i="1" s="1"/>
  <c r="AF132" i="1"/>
  <c r="AE132" i="1"/>
  <c r="AD132" i="1" s="1"/>
  <c r="AC132" i="1"/>
  <c r="V132" i="1"/>
  <c r="U132" i="1"/>
  <c r="S132" i="1"/>
  <c r="R132" i="1"/>
  <c r="Q132" i="1"/>
  <c r="P132" i="1"/>
  <c r="CP132" i="1" s="1"/>
  <c r="O132" i="1" s="1"/>
  <c r="K132" i="1"/>
  <c r="I132" i="1"/>
  <c r="D132" i="1"/>
  <c r="C132" i="1"/>
  <c r="HC131" i="1"/>
  <c r="GX131" i="1"/>
  <c r="GV131" i="1"/>
  <c r="GP131" i="1"/>
  <c r="GO131" i="1"/>
  <c r="GL131" i="1"/>
  <c r="CW131" i="1"/>
  <c r="CV131" i="1"/>
  <c r="CU131" i="1"/>
  <c r="CT131" i="1"/>
  <c r="CS131" i="1"/>
  <c r="CR131" i="1"/>
  <c r="CQ131" i="1"/>
  <c r="AJ131" i="1"/>
  <c r="CX131" i="1" s="1"/>
  <c r="W131" i="1" s="1"/>
  <c r="AI131" i="1"/>
  <c r="AH131" i="1"/>
  <c r="AG131" i="1"/>
  <c r="AF131" i="1"/>
  <c r="AE131" i="1"/>
  <c r="AD131" i="1"/>
  <c r="AB131" i="1" s="1"/>
  <c r="AC131" i="1"/>
  <c r="V131" i="1"/>
  <c r="U131" i="1"/>
  <c r="T131" i="1"/>
  <c r="S131" i="1"/>
  <c r="R131" i="1"/>
  <c r="CZ131" i="1" s="1"/>
  <c r="Y131" i="1" s="1"/>
  <c r="Q131" i="1"/>
  <c r="P131" i="1"/>
  <c r="CP131" i="1" s="1"/>
  <c r="O131" i="1" s="1"/>
  <c r="K131" i="1"/>
  <c r="I131" i="1"/>
  <c r="D131" i="1"/>
  <c r="C131" i="1"/>
  <c r="HC130" i="1"/>
  <c r="GX130" i="1"/>
  <c r="GV130" i="1"/>
  <c r="GP130" i="1"/>
  <c r="GO130" i="1"/>
  <c r="GN130" i="1"/>
  <c r="GM130" i="1"/>
  <c r="GL130" i="1"/>
  <c r="CZ130" i="1"/>
  <c r="CY130" i="1"/>
  <c r="CX130" i="1"/>
  <c r="CW130" i="1"/>
  <c r="CV130" i="1"/>
  <c r="CT130" i="1"/>
  <c r="CS130" i="1"/>
  <c r="CR130" i="1"/>
  <c r="CQ130" i="1"/>
  <c r="CP130" i="1"/>
  <c r="AJ130" i="1"/>
  <c r="AI130" i="1"/>
  <c r="AH130" i="1"/>
  <c r="AG130" i="1"/>
  <c r="CU130" i="1" s="1"/>
  <c r="T130" i="1" s="1"/>
  <c r="AF130" i="1"/>
  <c r="AE130" i="1"/>
  <c r="AD130" i="1"/>
  <c r="AC130" i="1"/>
  <c r="AB130" i="1"/>
  <c r="Y130" i="1"/>
  <c r="X130" i="1"/>
  <c r="W130" i="1"/>
  <c r="V130" i="1"/>
  <c r="U130" i="1"/>
  <c r="S130" i="1"/>
  <c r="R130" i="1"/>
  <c r="Q130" i="1"/>
  <c r="P130" i="1"/>
  <c r="O130" i="1"/>
  <c r="I130" i="1"/>
  <c r="HC129" i="1"/>
  <c r="GX129" i="1"/>
  <c r="GV129" i="1"/>
  <c r="GP129" i="1"/>
  <c r="GO129" i="1"/>
  <c r="GN129" i="1"/>
  <c r="GM129" i="1"/>
  <c r="GL129" i="1"/>
  <c r="CZ129" i="1"/>
  <c r="CY129" i="1"/>
  <c r="CX129" i="1"/>
  <c r="CW129" i="1"/>
  <c r="CV129" i="1"/>
  <c r="CT129" i="1"/>
  <c r="CS129" i="1"/>
  <c r="CR129" i="1"/>
  <c r="CQ129" i="1"/>
  <c r="CP129" i="1"/>
  <c r="AJ129" i="1"/>
  <c r="AI129" i="1"/>
  <c r="AH129" i="1"/>
  <c r="AG129" i="1"/>
  <c r="CU129" i="1" s="1"/>
  <c r="T129" i="1" s="1"/>
  <c r="AF129" i="1"/>
  <c r="AE129" i="1"/>
  <c r="AD129" i="1"/>
  <c r="AC129" i="1"/>
  <c r="AB129" i="1"/>
  <c r="Y129" i="1"/>
  <c r="X129" i="1"/>
  <c r="W129" i="1"/>
  <c r="V129" i="1"/>
  <c r="U129" i="1"/>
  <c r="S129" i="1"/>
  <c r="R129" i="1"/>
  <c r="Q129" i="1"/>
  <c r="P129" i="1"/>
  <c r="O129" i="1"/>
  <c r="I129" i="1"/>
  <c r="HC128" i="1"/>
  <c r="GX128" i="1"/>
  <c r="GV128" i="1"/>
  <c r="GP128" i="1"/>
  <c r="GO128" i="1"/>
  <c r="GN128" i="1"/>
  <c r="GM128" i="1"/>
  <c r="GL128" i="1"/>
  <c r="CZ128" i="1"/>
  <c r="CY128" i="1"/>
  <c r="CX128" i="1"/>
  <c r="CW128" i="1"/>
  <c r="CV128" i="1"/>
  <c r="CT128" i="1"/>
  <c r="CS128" i="1"/>
  <c r="CR128" i="1"/>
  <c r="CQ128" i="1"/>
  <c r="CP128" i="1"/>
  <c r="AJ128" i="1"/>
  <c r="AI128" i="1"/>
  <c r="AH128" i="1"/>
  <c r="AG128" i="1"/>
  <c r="CU128" i="1" s="1"/>
  <c r="T128" i="1" s="1"/>
  <c r="AF128" i="1"/>
  <c r="AE128" i="1"/>
  <c r="AD128" i="1"/>
  <c r="AC128" i="1"/>
  <c r="AB128" i="1"/>
  <c r="Y128" i="1"/>
  <c r="X128" i="1"/>
  <c r="W128" i="1"/>
  <c r="V128" i="1"/>
  <c r="U128" i="1"/>
  <c r="S128" i="1"/>
  <c r="R128" i="1"/>
  <c r="Q128" i="1"/>
  <c r="P128" i="1"/>
  <c r="O128" i="1"/>
  <c r="I128" i="1"/>
  <c r="HC127" i="1"/>
  <c r="GX127" i="1"/>
  <c r="GV127" i="1"/>
  <c r="GP127" i="1"/>
  <c r="CD139" i="1" s="1"/>
  <c r="GO127" i="1"/>
  <c r="CC139" i="1" s="1"/>
  <c r="GL127" i="1"/>
  <c r="BZ139" i="1" s="1"/>
  <c r="CW127" i="1"/>
  <c r="CV127" i="1"/>
  <c r="CT127" i="1"/>
  <c r="CS127" i="1"/>
  <c r="CR127" i="1"/>
  <c r="CQ127" i="1"/>
  <c r="AJ127" i="1"/>
  <c r="CX127" i="1" s="1"/>
  <c r="W127" i="1" s="1"/>
  <c r="AJ139" i="1" s="1"/>
  <c r="AI127" i="1"/>
  <c r="AH127" i="1"/>
  <c r="AG127" i="1"/>
  <c r="CU127" i="1" s="1"/>
  <c r="T127" i="1" s="1"/>
  <c r="AF127" i="1"/>
  <c r="AE127" i="1"/>
  <c r="AD127" i="1" s="1"/>
  <c r="AC127" i="1"/>
  <c r="V127" i="1"/>
  <c r="U127" i="1"/>
  <c r="S127" i="1"/>
  <c r="CZ127" i="1" s="1"/>
  <c r="Y127" i="1" s="1"/>
  <c r="BA427" i="7" s="1"/>
  <c r="R127" i="1"/>
  <c r="Q127" i="1"/>
  <c r="P127" i="1"/>
  <c r="CP127" i="1" s="1"/>
  <c r="O127" i="1" s="1"/>
  <c r="K127" i="1"/>
  <c r="I127" i="1"/>
  <c r="D127" i="1"/>
  <c r="C127" i="1"/>
  <c r="GX125" i="1"/>
  <c r="GW125" i="1"/>
  <c r="GV125" i="1"/>
  <c r="GU125" i="1"/>
  <c r="GT125" i="1"/>
  <c r="GS125" i="1"/>
  <c r="GR125" i="1"/>
  <c r="GQ125" i="1"/>
  <c r="GP125" i="1"/>
  <c r="GO125" i="1"/>
  <c r="GN125" i="1"/>
  <c r="GM125" i="1"/>
  <c r="GL125" i="1"/>
  <c r="GK125" i="1"/>
  <c r="GJ125" i="1"/>
  <c r="GI125" i="1"/>
  <c r="GH125" i="1"/>
  <c r="GG125" i="1"/>
  <c r="GF125" i="1"/>
  <c r="GE125" i="1"/>
  <c r="GD125" i="1"/>
  <c r="GC125" i="1"/>
  <c r="GB125" i="1"/>
  <c r="GA125" i="1"/>
  <c r="FZ125" i="1"/>
  <c r="FY125" i="1"/>
  <c r="FX125" i="1"/>
  <c r="FW125" i="1"/>
  <c r="FV125" i="1"/>
  <c r="FU125" i="1"/>
  <c r="FT125" i="1"/>
  <c r="FS125" i="1"/>
  <c r="FR125" i="1"/>
  <c r="FQ125" i="1"/>
  <c r="FP125" i="1"/>
  <c r="FO125" i="1"/>
  <c r="FN125" i="1"/>
  <c r="FM125" i="1"/>
  <c r="FL125" i="1"/>
  <c r="FK125" i="1"/>
  <c r="FJ125" i="1"/>
  <c r="FI125" i="1"/>
  <c r="FH125" i="1"/>
  <c r="FG125" i="1"/>
  <c r="FF125" i="1"/>
  <c r="FE125" i="1"/>
  <c r="FD125" i="1"/>
  <c r="FC125" i="1"/>
  <c r="FB125" i="1"/>
  <c r="FA125" i="1"/>
  <c r="EZ125" i="1"/>
  <c r="EY125" i="1"/>
  <c r="EX125" i="1"/>
  <c r="EW125" i="1"/>
  <c r="EV125" i="1"/>
  <c r="EU125" i="1"/>
  <c r="ET125" i="1"/>
  <c r="ES125" i="1"/>
  <c r="ER125" i="1"/>
  <c r="EQ125" i="1"/>
  <c r="EP125" i="1"/>
  <c r="EO125" i="1"/>
  <c r="EN125" i="1"/>
  <c r="EM125" i="1"/>
  <c r="EL125" i="1"/>
  <c r="EK125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DW125" i="1"/>
  <c r="DV125" i="1"/>
  <c r="DU125" i="1"/>
  <c r="DT125" i="1"/>
  <c r="DS125" i="1"/>
  <c r="DR125" i="1"/>
  <c r="DQ125" i="1"/>
  <c r="DP125" i="1"/>
  <c r="DO125" i="1"/>
  <c r="DN125" i="1"/>
  <c r="DM125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AP125" i="1"/>
  <c r="AO125" i="1"/>
  <c r="AN125" i="1"/>
  <c r="AM125" i="1"/>
  <c r="AA125" i="1"/>
  <c r="Z125" i="1"/>
  <c r="G125" i="1"/>
  <c r="F125" i="1"/>
  <c r="E125" i="1"/>
  <c r="D125" i="1"/>
  <c r="C125" i="1"/>
  <c r="B125" i="1"/>
  <c r="D123" i="1"/>
  <c r="F118" i="1"/>
  <c r="F109" i="1"/>
  <c r="F106" i="1"/>
  <c r="F102" i="1"/>
  <c r="F97" i="1"/>
  <c r="CM93" i="1"/>
  <c r="CL93" i="1"/>
  <c r="CK93" i="1"/>
  <c r="BY93" i="1"/>
  <c r="BX93" i="1"/>
  <c r="BD93" i="1"/>
  <c r="BC93" i="1"/>
  <c r="BB93" i="1"/>
  <c r="AP93" i="1"/>
  <c r="AO93" i="1"/>
  <c r="G93" i="1"/>
  <c r="F93" i="1"/>
  <c r="D93" i="1"/>
  <c r="C93" i="1"/>
  <c r="B93" i="1"/>
  <c r="HC91" i="1"/>
  <c r="GX91" i="1"/>
  <c r="GV91" i="1"/>
  <c r="GP91" i="1"/>
  <c r="GO91" i="1"/>
  <c r="GN91" i="1"/>
  <c r="GM91" i="1"/>
  <c r="GL91" i="1"/>
  <c r="CZ91" i="1"/>
  <c r="CY91" i="1"/>
  <c r="CW91" i="1"/>
  <c r="CV91" i="1"/>
  <c r="CT91" i="1"/>
  <c r="CS91" i="1"/>
  <c r="CR91" i="1"/>
  <c r="CQ91" i="1"/>
  <c r="CP91" i="1"/>
  <c r="AJ91" i="1"/>
  <c r="CX91" i="1" s="1"/>
  <c r="W91" i="1" s="1"/>
  <c r="AI91" i="1"/>
  <c r="AH91" i="1"/>
  <c r="AG91" i="1"/>
  <c r="CU91" i="1" s="1"/>
  <c r="T91" i="1" s="1"/>
  <c r="AF91" i="1"/>
  <c r="AE91" i="1"/>
  <c r="AD91" i="1"/>
  <c r="AC91" i="1"/>
  <c r="AB91" i="1"/>
  <c r="Y91" i="1"/>
  <c r="X91" i="1"/>
  <c r="V91" i="1"/>
  <c r="U91" i="1"/>
  <c r="S91" i="1"/>
  <c r="R91" i="1"/>
  <c r="Q91" i="1"/>
  <c r="P91" i="1"/>
  <c r="O91" i="1"/>
  <c r="I91" i="1"/>
  <c r="HC90" i="1"/>
  <c r="GX90" i="1"/>
  <c r="GV90" i="1"/>
  <c r="GP90" i="1"/>
  <c r="GO90" i="1"/>
  <c r="GN90" i="1"/>
  <c r="GM90" i="1"/>
  <c r="GL90" i="1"/>
  <c r="CZ90" i="1"/>
  <c r="CY90" i="1"/>
  <c r="CW90" i="1"/>
  <c r="CV90" i="1"/>
  <c r="CT90" i="1"/>
  <c r="CS90" i="1"/>
  <c r="CR90" i="1"/>
  <c r="CQ90" i="1"/>
  <c r="CP90" i="1"/>
  <c r="AJ90" i="1"/>
  <c r="CX90" i="1" s="1"/>
  <c r="W90" i="1" s="1"/>
  <c r="AI90" i="1"/>
  <c r="AH90" i="1"/>
  <c r="AG90" i="1"/>
  <c r="CU90" i="1" s="1"/>
  <c r="T90" i="1" s="1"/>
  <c r="AF90" i="1"/>
  <c r="AE90" i="1"/>
  <c r="AD90" i="1"/>
  <c r="AC90" i="1"/>
  <c r="AB90" i="1"/>
  <c r="Y90" i="1"/>
  <c r="X90" i="1"/>
  <c r="V90" i="1"/>
  <c r="U90" i="1"/>
  <c r="S90" i="1"/>
  <c r="R90" i="1"/>
  <c r="Q90" i="1"/>
  <c r="P90" i="1"/>
  <c r="O90" i="1"/>
  <c r="I90" i="1"/>
  <c r="HC89" i="1"/>
  <c r="GX89" i="1"/>
  <c r="GV89" i="1"/>
  <c r="GP89" i="1"/>
  <c r="GO89" i="1"/>
  <c r="GL89" i="1"/>
  <c r="CZ89" i="1"/>
  <c r="Y89" i="1" s="1"/>
  <c r="CW89" i="1"/>
  <c r="CV89" i="1"/>
  <c r="CT89" i="1"/>
  <c r="CS89" i="1"/>
  <c r="CR89" i="1"/>
  <c r="CQ89" i="1"/>
  <c r="AJ89" i="1"/>
  <c r="CX89" i="1" s="1"/>
  <c r="W89" i="1" s="1"/>
  <c r="AI89" i="1"/>
  <c r="AH89" i="1"/>
  <c r="AG89" i="1"/>
  <c r="CU89" i="1" s="1"/>
  <c r="T89" i="1" s="1"/>
  <c r="AF89" i="1"/>
  <c r="AE89" i="1"/>
  <c r="AD89" i="1"/>
  <c r="AC89" i="1"/>
  <c r="AB89" i="1"/>
  <c r="U89" i="1"/>
  <c r="S89" i="1"/>
  <c r="CY89" i="1" s="1"/>
  <c r="X89" i="1" s="1"/>
  <c r="R89" i="1"/>
  <c r="P89" i="1"/>
  <c r="I89" i="1"/>
  <c r="Q89" i="1" s="1"/>
  <c r="CP89" i="1" s="1"/>
  <c r="O89" i="1" s="1"/>
  <c r="GM89" i="1" s="1"/>
  <c r="GN89" i="1" s="1"/>
  <c r="HC88" i="1"/>
  <c r="GX88" i="1"/>
  <c r="GV88" i="1"/>
  <c r="GP88" i="1"/>
  <c r="GO88" i="1"/>
  <c r="GL88" i="1"/>
  <c r="CW88" i="1"/>
  <c r="CV88" i="1"/>
  <c r="CT88" i="1"/>
  <c r="CS88" i="1"/>
  <c r="CR88" i="1"/>
  <c r="CQ88" i="1"/>
  <c r="AJ88" i="1"/>
  <c r="CX88" i="1" s="1"/>
  <c r="W88" i="1" s="1"/>
  <c r="AI88" i="1"/>
  <c r="AH88" i="1"/>
  <c r="AG88" i="1"/>
  <c r="CU88" i="1" s="1"/>
  <c r="T88" i="1" s="1"/>
  <c r="AF88" i="1"/>
  <c r="AE88" i="1"/>
  <c r="AD88" i="1" s="1"/>
  <c r="AC88" i="1"/>
  <c r="V88" i="1"/>
  <c r="U88" i="1"/>
  <c r="S88" i="1"/>
  <c r="R88" i="1"/>
  <c r="Q88" i="1"/>
  <c r="P88" i="1"/>
  <c r="CP88" i="1" s="1"/>
  <c r="O88" i="1" s="1"/>
  <c r="K88" i="1"/>
  <c r="I88" i="1"/>
  <c r="D88" i="1"/>
  <c r="C88" i="1"/>
  <c r="HC87" i="1"/>
  <c r="GX87" i="1"/>
  <c r="GV87" i="1"/>
  <c r="GP87" i="1"/>
  <c r="GO87" i="1"/>
  <c r="GN87" i="1"/>
  <c r="GM87" i="1"/>
  <c r="GL87" i="1"/>
  <c r="CZ87" i="1"/>
  <c r="CY87" i="1"/>
  <c r="CW87" i="1"/>
  <c r="CV87" i="1"/>
  <c r="CU87" i="1"/>
  <c r="T87" i="1" s="1"/>
  <c r="CT87" i="1"/>
  <c r="CS87" i="1"/>
  <c r="CR87" i="1"/>
  <c r="CQ87" i="1"/>
  <c r="CP87" i="1"/>
  <c r="AJ87" i="1"/>
  <c r="CX87" i="1" s="1"/>
  <c r="W87" i="1" s="1"/>
  <c r="AI87" i="1"/>
  <c r="AH87" i="1"/>
  <c r="AG87" i="1"/>
  <c r="AF87" i="1"/>
  <c r="AE87" i="1"/>
  <c r="AD87" i="1"/>
  <c r="AC87" i="1"/>
  <c r="AB87" i="1"/>
  <c r="Y87" i="1"/>
  <c r="X87" i="1"/>
  <c r="V87" i="1"/>
  <c r="U87" i="1"/>
  <c r="S87" i="1"/>
  <c r="R87" i="1"/>
  <c r="Q87" i="1"/>
  <c r="P87" i="1"/>
  <c r="O87" i="1"/>
  <c r="I87" i="1"/>
  <c r="HC86" i="1"/>
  <c r="GV86" i="1"/>
  <c r="GP86" i="1"/>
  <c r="GO86" i="1"/>
  <c r="GL86" i="1"/>
  <c r="CW86" i="1"/>
  <c r="CV86" i="1"/>
  <c r="CU86" i="1"/>
  <c r="T86" i="1" s="1"/>
  <c r="CT86" i="1"/>
  <c r="CS86" i="1"/>
  <c r="CR86" i="1"/>
  <c r="CQ86" i="1"/>
  <c r="AJ86" i="1"/>
  <c r="CX86" i="1" s="1"/>
  <c r="W86" i="1" s="1"/>
  <c r="AI86" i="1"/>
  <c r="AH86" i="1"/>
  <c r="AG86" i="1"/>
  <c r="AF86" i="1"/>
  <c r="AE86" i="1"/>
  <c r="AD86" i="1"/>
  <c r="AC86" i="1"/>
  <c r="AB86" i="1"/>
  <c r="R86" i="1"/>
  <c r="P86" i="1"/>
  <c r="I86" i="1"/>
  <c r="V86" i="1" s="1"/>
  <c r="HC85" i="1"/>
  <c r="GX85" i="1"/>
  <c r="GV85" i="1"/>
  <c r="GP85" i="1"/>
  <c r="GO85" i="1"/>
  <c r="GL85" i="1"/>
  <c r="CW85" i="1"/>
  <c r="CV85" i="1"/>
  <c r="CU85" i="1"/>
  <c r="T85" i="1" s="1"/>
  <c r="CT85" i="1"/>
  <c r="CS85" i="1"/>
  <c r="CR85" i="1"/>
  <c r="CQ85" i="1"/>
  <c r="AJ85" i="1"/>
  <c r="CX85" i="1" s="1"/>
  <c r="W85" i="1" s="1"/>
  <c r="AI85" i="1"/>
  <c r="AH85" i="1"/>
  <c r="AG85" i="1"/>
  <c r="AF85" i="1"/>
  <c r="AE85" i="1"/>
  <c r="AD85" i="1" s="1"/>
  <c r="AB85" i="1" s="1"/>
  <c r="AC85" i="1"/>
  <c r="V85" i="1"/>
  <c r="U85" i="1"/>
  <c r="S85" i="1"/>
  <c r="CZ85" i="1" s="1"/>
  <c r="Y85" i="1" s="1"/>
  <c r="R85" i="1"/>
  <c r="Q85" i="1"/>
  <c r="P85" i="1"/>
  <c r="K85" i="1"/>
  <c r="I85" i="1"/>
  <c r="D85" i="1"/>
  <c r="C85" i="1"/>
  <c r="HC84" i="1"/>
  <c r="GX84" i="1"/>
  <c r="GV84" i="1"/>
  <c r="GP84" i="1"/>
  <c r="GO84" i="1"/>
  <c r="GL84" i="1"/>
  <c r="CX84" i="1"/>
  <c r="W84" i="1" s="1"/>
  <c r="CW84" i="1"/>
  <c r="CV84" i="1"/>
  <c r="CU84" i="1"/>
  <c r="CT84" i="1"/>
  <c r="CS84" i="1"/>
  <c r="CR84" i="1"/>
  <c r="CQ84" i="1"/>
  <c r="AJ84" i="1"/>
  <c r="AI84" i="1"/>
  <c r="AH84" i="1"/>
  <c r="AG84" i="1"/>
  <c r="AF84" i="1"/>
  <c r="AE84" i="1"/>
  <c r="AD84" i="1" s="1"/>
  <c r="AC84" i="1"/>
  <c r="V84" i="1"/>
  <c r="U84" i="1"/>
  <c r="T84" i="1"/>
  <c r="S84" i="1"/>
  <c r="R84" i="1"/>
  <c r="Q84" i="1"/>
  <c r="P84" i="1"/>
  <c r="K84" i="1"/>
  <c r="I84" i="1"/>
  <c r="D84" i="1"/>
  <c r="C84" i="1"/>
  <c r="HC83" i="1"/>
  <c r="GX83" i="1"/>
  <c r="GV83" i="1"/>
  <c r="GP83" i="1"/>
  <c r="GO83" i="1"/>
  <c r="GN83" i="1"/>
  <c r="GM83" i="1"/>
  <c r="GL83" i="1"/>
  <c r="CZ83" i="1"/>
  <c r="CY83" i="1"/>
  <c r="CX83" i="1"/>
  <c r="W83" i="1" s="1"/>
  <c r="CW83" i="1"/>
  <c r="CV83" i="1"/>
  <c r="CU83" i="1"/>
  <c r="T83" i="1" s="1"/>
  <c r="CT83" i="1"/>
  <c r="CS83" i="1"/>
  <c r="CR83" i="1"/>
  <c r="CQ83" i="1"/>
  <c r="CP83" i="1"/>
  <c r="AJ83" i="1"/>
  <c r="AI83" i="1"/>
  <c r="AH83" i="1"/>
  <c r="AG83" i="1"/>
  <c r="AF83" i="1"/>
  <c r="AE83" i="1"/>
  <c r="AD83" i="1"/>
  <c r="AC83" i="1"/>
  <c r="AB83" i="1"/>
  <c r="Y83" i="1"/>
  <c r="X83" i="1"/>
  <c r="V83" i="1"/>
  <c r="U83" i="1"/>
  <c r="S83" i="1"/>
  <c r="R83" i="1"/>
  <c r="Q83" i="1"/>
  <c r="P83" i="1"/>
  <c r="O83" i="1"/>
  <c r="I83" i="1"/>
  <c r="HC82" i="1"/>
  <c r="GV82" i="1"/>
  <c r="GP82" i="1"/>
  <c r="GO82" i="1"/>
  <c r="GL82" i="1"/>
  <c r="CX82" i="1"/>
  <c r="CW82" i="1"/>
  <c r="CV82" i="1"/>
  <c r="CU82" i="1"/>
  <c r="CT82" i="1"/>
  <c r="CS82" i="1"/>
  <c r="CR82" i="1"/>
  <c r="CQ82" i="1"/>
  <c r="AJ82" i="1"/>
  <c r="AI82" i="1"/>
  <c r="AH82" i="1"/>
  <c r="AG82" i="1"/>
  <c r="AF82" i="1"/>
  <c r="AE82" i="1"/>
  <c r="AD82" i="1"/>
  <c r="AC82" i="1"/>
  <c r="AB82" i="1"/>
  <c r="I82" i="1"/>
  <c r="HC81" i="1"/>
  <c r="GX81" i="1"/>
  <c r="GV81" i="1"/>
  <c r="GP81" i="1"/>
  <c r="GO81" i="1"/>
  <c r="GL81" i="1"/>
  <c r="CW81" i="1"/>
  <c r="CV81" i="1"/>
  <c r="CU81" i="1"/>
  <c r="T81" i="1" s="1"/>
  <c r="CT81" i="1"/>
  <c r="CS81" i="1"/>
  <c r="CR81" i="1"/>
  <c r="CQ81" i="1"/>
  <c r="AJ81" i="1"/>
  <c r="CX81" i="1" s="1"/>
  <c r="W81" i="1" s="1"/>
  <c r="AI81" i="1"/>
  <c r="AH81" i="1"/>
  <c r="AG81" i="1"/>
  <c r="AF81" i="1"/>
  <c r="AE81" i="1"/>
  <c r="AD81" i="1"/>
  <c r="AC81" i="1"/>
  <c r="V81" i="1"/>
  <c r="U81" i="1"/>
  <c r="S81" i="1"/>
  <c r="R81" i="1"/>
  <c r="Q81" i="1"/>
  <c r="P81" i="1"/>
  <c r="CP81" i="1" s="1"/>
  <c r="O81" i="1" s="1"/>
  <c r="K81" i="1"/>
  <c r="I81" i="1"/>
  <c r="D81" i="1"/>
  <c r="C81" i="1"/>
  <c r="HC80" i="1"/>
  <c r="GX80" i="1"/>
  <c r="GV80" i="1"/>
  <c r="GP80" i="1"/>
  <c r="GO80" i="1"/>
  <c r="GL80" i="1"/>
  <c r="CX80" i="1"/>
  <c r="CW80" i="1"/>
  <c r="CV80" i="1"/>
  <c r="CT80" i="1"/>
  <c r="CS80" i="1"/>
  <c r="CR80" i="1"/>
  <c r="CQ80" i="1"/>
  <c r="AJ80" i="1"/>
  <c r="AI80" i="1"/>
  <c r="AH80" i="1"/>
  <c r="AG80" i="1"/>
  <c r="CU80" i="1" s="1"/>
  <c r="T80" i="1" s="1"/>
  <c r="AF80" i="1"/>
  <c r="AE80" i="1"/>
  <c r="AD80" i="1"/>
  <c r="AC80" i="1"/>
  <c r="W80" i="1"/>
  <c r="V80" i="1"/>
  <c r="U80" i="1"/>
  <c r="S80" i="1"/>
  <c r="R80" i="1"/>
  <c r="Q80" i="1"/>
  <c r="P80" i="1"/>
  <c r="CP80" i="1" s="1"/>
  <c r="O80" i="1" s="1"/>
  <c r="K80" i="1"/>
  <c r="I80" i="1"/>
  <c r="D80" i="1"/>
  <c r="C80" i="1"/>
  <c r="HC79" i="1"/>
  <c r="GX79" i="1"/>
  <c r="GV79" i="1"/>
  <c r="GP79" i="1"/>
  <c r="GO79" i="1"/>
  <c r="GN79" i="1"/>
  <c r="GM79" i="1"/>
  <c r="GL79" i="1"/>
  <c r="CZ79" i="1"/>
  <c r="CY79" i="1"/>
  <c r="CX79" i="1"/>
  <c r="W79" i="1" s="1"/>
  <c r="CW79" i="1"/>
  <c r="CV79" i="1"/>
  <c r="CU79" i="1"/>
  <c r="T79" i="1" s="1"/>
  <c r="CT79" i="1"/>
  <c r="CS79" i="1"/>
  <c r="CR79" i="1"/>
  <c r="CQ79" i="1"/>
  <c r="CP79" i="1"/>
  <c r="AJ79" i="1"/>
  <c r="AI79" i="1"/>
  <c r="AH79" i="1"/>
  <c r="AG79" i="1"/>
  <c r="AF79" i="1"/>
  <c r="AE79" i="1"/>
  <c r="AD79" i="1"/>
  <c r="AC79" i="1"/>
  <c r="AB79" i="1"/>
  <c r="Y79" i="1"/>
  <c r="X79" i="1"/>
  <c r="V79" i="1"/>
  <c r="U79" i="1"/>
  <c r="S79" i="1"/>
  <c r="R79" i="1"/>
  <c r="Q79" i="1"/>
  <c r="P79" i="1"/>
  <c r="O79" i="1"/>
  <c r="I79" i="1"/>
  <c r="HC78" i="1"/>
  <c r="GX78" i="1"/>
  <c r="GV78" i="1"/>
  <c r="GP78" i="1"/>
  <c r="GO78" i="1"/>
  <c r="GN78" i="1"/>
  <c r="GM78" i="1"/>
  <c r="GL78" i="1"/>
  <c r="CZ78" i="1"/>
  <c r="CY78" i="1"/>
  <c r="CX78" i="1"/>
  <c r="W78" i="1" s="1"/>
  <c r="CW78" i="1"/>
  <c r="CV78" i="1"/>
  <c r="CU78" i="1"/>
  <c r="T78" i="1" s="1"/>
  <c r="CT78" i="1"/>
  <c r="CS78" i="1"/>
  <c r="CR78" i="1"/>
  <c r="CQ78" i="1"/>
  <c r="CP78" i="1"/>
  <c r="AJ78" i="1"/>
  <c r="AI78" i="1"/>
  <c r="AH78" i="1"/>
  <c r="AG78" i="1"/>
  <c r="AF78" i="1"/>
  <c r="AE78" i="1"/>
  <c r="AD78" i="1"/>
  <c r="AC78" i="1"/>
  <c r="AB78" i="1"/>
  <c r="Y78" i="1"/>
  <c r="X78" i="1"/>
  <c r="V78" i="1"/>
  <c r="U78" i="1"/>
  <c r="S78" i="1"/>
  <c r="R78" i="1"/>
  <c r="Q78" i="1"/>
  <c r="P78" i="1"/>
  <c r="O78" i="1"/>
  <c r="I78" i="1"/>
  <c r="HC77" i="1"/>
  <c r="GX77" i="1"/>
  <c r="GV77" i="1"/>
  <c r="GP77" i="1"/>
  <c r="GO77" i="1"/>
  <c r="GN77" i="1"/>
  <c r="GM77" i="1"/>
  <c r="GL77" i="1"/>
  <c r="CZ77" i="1"/>
  <c r="CY77" i="1"/>
  <c r="CX77" i="1"/>
  <c r="W77" i="1" s="1"/>
  <c r="CW77" i="1"/>
  <c r="CV77" i="1"/>
  <c r="CU77" i="1"/>
  <c r="T77" i="1" s="1"/>
  <c r="CT77" i="1"/>
  <c r="CS77" i="1"/>
  <c r="CR77" i="1"/>
  <c r="CQ77" i="1"/>
  <c r="CP77" i="1"/>
  <c r="AJ77" i="1"/>
  <c r="AI77" i="1"/>
  <c r="AH77" i="1"/>
  <c r="AG77" i="1"/>
  <c r="AF77" i="1"/>
  <c r="AE77" i="1"/>
  <c r="AD77" i="1"/>
  <c r="AC77" i="1"/>
  <c r="AB77" i="1"/>
  <c r="Y77" i="1"/>
  <c r="X77" i="1"/>
  <c r="V77" i="1"/>
  <c r="U77" i="1"/>
  <c r="S77" i="1"/>
  <c r="R77" i="1"/>
  <c r="Q77" i="1"/>
  <c r="P77" i="1"/>
  <c r="O77" i="1"/>
  <c r="I77" i="1"/>
  <c r="HC76" i="1"/>
  <c r="GX76" i="1"/>
  <c r="GV76" i="1"/>
  <c r="GP76" i="1"/>
  <c r="GO76" i="1"/>
  <c r="CC93" i="1" s="1"/>
  <c r="AT93" i="1" s="1"/>
  <c r="F111" i="1" s="1"/>
  <c r="GL76" i="1"/>
  <c r="BZ93" i="1" s="1"/>
  <c r="BZ74" i="1" s="1"/>
  <c r="CW76" i="1"/>
  <c r="CV76" i="1"/>
  <c r="CU76" i="1"/>
  <c r="T76" i="1" s="1"/>
  <c r="CT76" i="1"/>
  <c r="CS76" i="1"/>
  <c r="CR76" i="1"/>
  <c r="CQ76" i="1"/>
  <c r="AJ76" i="1"/>
  <c r="CX76" i="1" s="1"/>
  <c r="W76" i="1" s="1"/>
  <c r="AI76" i="1"/>
  <c r="AH76" i="1"/>
  <c r="AG76" i="1"/>
  <c r="AF76" i="1"/>
  <c r="AE76" i="1"/>
  <c r="AD76" i="1" s="1"/>
  <c r="AC76" i="1"/>
  <c r="V76" i="1"/>
  <c r="U76" i="1"/>
  <c r="S76" i="1"/>
  <c r="R76" i="1"/>
  <c r="Q76" i="1"/>
  <c r="P76" i="1"/>
  <c r="K76" i="1"/>
  <c r="I76" i="1"/>
  <c r="D76" i="1"/>
  <c r="C76" i="1"/>
  <c r="GX74" i="1"/>
  <c r="GW74" i="1"/>
  <c r="GV74" i="1"/>
  <c r="GU74" i="1"/>
  <c r="GT74" i="1"/>
  <c r="GS74" i="1"/>
  <c r="GR74" i="1"/>
  <c r="GQ74" i="1"/>
  <c r="GP74" i="1"/>
  <c r="GO74" i="1"/>
  <c r="GN74" i="1"/>
  <c r="GM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FU74" i="1"/>
  <c r="FT74" i="1"/>
  <c r="FS74" i="1"/>
  <c r="FR74" i="1"/>
  <c r="FQ74" i="1"/>
  <c r="FP74" i="1"/>
  <c r="FO74" i="1"/>
  <c r="FN74" i="1"/>
  <c r="FM74" i="1"/>
  <c r="FL74" i="1"/>
  <c r="FK74" i="1"/>
  <c r="FJ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C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AT74" i="1"/>
  <c r="AP74" i="1"/>
  <c r="AO74" i="1"/>
  <c r="AN74" i="1"/>
  <c r="AM74" i="1"/>
  <c r="AA74" i="1"/>
  <c r="Z74" i="1"/>
  <c r="G74" i="1"/>
  <c r="F74" i="1"/>
  <c r="E74" i="1"/>
  <c r="D74" i="1"/>
  <c r="C74" i="1"/>
  <c r="B74" i="1"/>
  <c r="D72" i="1"/>
  <c r="F67" i="1"/>
  <c r="F58" i="1"/>
  <c r="F55" i="1"/>
  <c r="F51" i="1"/>
  <c r="F46" i="1"/>
  <c r="CM42" i="1"/>
  <c r="CL42" i="1"/>
  <c r="CK42" i="1"/>
  <c r="BY42" i="1"/>
  <c r="BX42" i="1"/>
  <c r="BD42" i="1"/>
  <c r="BC42" i="1"/>
  <c r="BB42" i="1"/>
  <c r="AP42" i="1"/>
  <c r="AO42" i="1"/>
  <c r="G42" i="1"/>
  <c r="F42" i="1"/>
  <c r="D42" i="1"/>
  <c r="C42" i="1"/>
  <c r="B42" i="1"/>
  <c r="HC40" i="1"/>
  <c r="GV40" i="1"/>
  <c r="GP40" i="1"/>
  <c r="GO40" i="1"/>
  <c r="GL40" i="1"/>
  <c r="CW40" i="1"/>
  <c r="CV40" i="1"/>
  <c r="CU40" i="1"/>
  <c r="T40" i="1" s="1"/>
  <c r="CT40" i="1"/>
  <c r="CS40" i="1"/>
  <c r="CR40" i="1"/>
  <c r="CQ40" i="1"/>
  <c r="AJ40" i="1"/>
  <c r="CX40" i="1" s="1"/>
  <c r="W40" i="1" s="1"/>
  <c r="AI40" i="1"/>
  <c r="AH40" i="1"/>
  <c r="AG40" i="1"/>
  <c r="AF40" i="1"/>
  <c r="AE40" i="1"/>
  <c r="AD40" i="1"/>
  <c r="AC40" i="1"/>
  <c r="AB40" i="1"/>
  <c r="U40" i="1"/>
  <c r="R40" i="1"/>
  <c r="Q40" i="1"/>
  <c r="P40" i="1"/>
  <c r="CP40" i="1" s="1"/>
  <c r="O40" i="1" s="1"/>
  <c r="I40" i="1"/>
  <c r="S40" i="1" s="1"/>
  <c r="HC39" i="1"/>
  <c r="GX39" i="1"/>
  <c r="GV39" i="1"/>
  <c r="GP39" i="1"/>
  <c r="GO39" i="1"/>
  <c r="GL39" i="1"/>
  <c r="CW39" i="1"/>
  <c r="CV39" i="1"/>
  <c r="CU39" i="1"/>
  <c r="T39" i="1" s="1"/>
  <c r="CT39" i="1"/>
  <c r="CS39" i="1"/>
  <c r="CR39" i="1"/>
  <c r="CQ39" i="1"/>
  <c r="AJ39" i="1"/>
  <c r="CX39" i="1" s="1"/>
  <c r="W39" i="1" s="1"/>
  <c r="AI39" i="1"/>
  <c r="AH39" i="1"/>
  <c r="AG39" i="1"/>
  <c r="AF39" i="1"/>
  <c r="AE39" i="1"/>
  <c r="AD39" i="1" s="1"/>
  <c r="AC39" i="1"/>
  <c r="V39" i="1"/>
  <c r="U39" i="1"/>
  <c r="S39" i="1"/>
  <c r="CZ39" i="1" s="1"/>
  <c r="Y39" i="1" s="1"/>
  <c r="BA190" i="7" s="1"/>
  <c r="R39" i="1"/>
  <c r="Q39" i="1"/>
  <c r="P39" i="1"/>
  <c r="D39" i="1"/>
  <c r="C39" i="1"/>
  <c r="HC38" i="1"/>
  <c r="GV38" i="1"/>
  <c r="GP38" i="1"/>
  <c r="GO38" i="1"/>
  <c r="GL38" i="1"/>
  <c r="CX38" i="1"/>
  <c r="W38" i="1" s="1"/>
  <c r="CW38" i="1"/>
  <c r="CV38" i="1"/>
  <c r="CT38" i="1"/>
  <c r="CS38" i="1"/>
  <c r="CR38" i="1"/>
  <c r="CQ38" i="1"/>
  <c r="AJ38" i="1"/>
  <c r="AI38" i="1"/>
  <c r="AH38" i="1"/>
  <c r="AG38" i="1"/>
  <c r="CU38" i="1" s="1"/>
  <c r="T38" i="1" s="1"/>
  <c r="AF38" i="1"/>
  <c r="AE38" i="1"/>
  <c r="AD38" i="1"/>
  <c r="AC38" i="1"/>
  <c r="AB38" i="1"/>
  <c r="I38" i="1"/>
  <c r="GX38" i="1" s="1"/>
  <c r="HC37" i="1"/>
  <c r="GX37" i="1"/>
  <c r="GV37" i="1"/>
  <c r="GP37" i="1"/>
  <c r="GO37" i="1"/>
  <c r="GL37" i="1"/>
  <c r="CX37" i="1"/>
  <c r="W37" i="1" s="1"/>
  <c r="CW37" i="1"/>
  <c r="CV37" i="1"/>
  <c r="CT37" i="1"/>
  <c r="CS37" i="1"/>
  <c r="CR37" i="1"/>
  <c r="CQ37" i="1"/>
  <c r="AJ37" i="1"/>
  <c r="AI37" i="1"/>
  <c r="AH37" i="1"/>
  <c r="AG37" i="1"/>
  <c r="CU37" i="1" s="1"/>
  <c r="T37" i="1" s="1"/>
  <c r="AF37" i="1"/>
  <c r="AE37" i="1"/>
  <c r="AD37" i="1" s="1"/>
  <c r="AC37" i="1"/>
  <c r="V37" i="1"/>
  <c r="U37" i="1"/>
  <c r="S37" i="1"/>
  <c r="CY37" i="1" s="1"/>
  <c r="X37" i="1" s="1"/>
  <c r="AZ168" i="7" s="1"/>
  <c r="R37" i="1"/>
  <c r="Q37" i="1"/>
  <c r="P37" i="1"/>
  <c r="K37" i="1"/>
  <c r="I37" i="1"/>
  <c r="D37" i="1"/>
  <c r="C37" i="1"/>
  <c r="HC36" i="1"/>
  <c r="GX36" i="1"/>
  <c r="GV36" i="1"/>
  <c r="GP36" i="1"/>
  <c r="GO36" i="1"/>
  <c r="GL36" i="1"/>
  <c r="CW36" i="1"/>
  <c r="CV36" i="1"/>
  <c r="CU36" i="1"/>
  <c r="CT36" i="1"/>
  <c r="CS36" i="1"/>
  <c r="CR36" i="1"/>
  <c r="CQ36" i="1"/>
  <c r="AJ36" i="1"/>
  <c r="CX36" i="1" s="1"/>
  <c r="W36" i="1" s="1"/>
  <c r="AI36" i="1"/>
  <c r="AH36" i="1"/>
  <c r="AG36" i="1"/>
  <c r="AF36" i="1"/>
  <c r="AE36" i="1"/>
  <c r="AD36" i="1" s="1"/>
  <c r="AB36" i="1" s="1"/>
  <c r="AC36" i="1"/>
  <c r="V36" i="1"/>
  <c r="U36" i="1"/>
  <c r="T36" i="1"/>
  <c r="S36" i="1"/>
  <c r="R36" i="1"/>
  <c r="Q36" i="1"/>
  <c r="P36" i="1"/>
  <c r="K36" i="1"/>
  <c r="I36" i="1"/>
  <c r="D36" i="1"/>
  <c r="C36" i="1"/>
  <c r="HC35" i="1"/>
  <c r="GX35" i="1"/>
  <c r="GV35" i="1"/>
  <c r="GP35" i="1"/>
  <c r="GO35" i="1"/>
  <c r="GN35" i="1"/>
  <c r="GM35" i="1"/>
  <c r="GL35" i="1"/>
  <c r="CZ35" i="1"/>
  <c r="CY35" i="1"/>
  <c r="CX35" i="1"/>
  <c r="CW35" i="1"/>
  <c r="CV35" i="1"/>
  <c r="CT35" i="1"/>
  <c r="CS35" i="1"/>
  <c r="CR35" i="1"/>
  <c r="CQ35" i="1"/>
  <c r="CP35" i="1"/>
  <c r="AJ35" i="1"/>
  <c r="AI35" i="1"/>
  <c r="AH35" i="1"/>
  <c r="AG35" i="1"/>
  <c r="CU35" i="1" s="1"/>
  <c r="T35" i="1" s="1"/>
  <c r="AF35" i="1"/>
  <c r="AE35" i="1"/>
  <c r="AD35" i="1"/>
  <c r="AC35" i="1"/>
  <c r="AB35" i="1"/>
  <c r="Y35" i="1"/>
  <c r="X35" i="1"/>
  <c r="W35" i="1"/>
  <c r="V35" i="1"/>
  <c r="U35" i="1"/>
  <c r="S35" i="1"/>
  <c r="R35" i="1"/>
  <c r="Q35" i="1"/>
  <c r="P35" i="1"/>
  <c r="O35" i="1"/>
  <c r="I35" i="1"/>
  <c r="HC34" i="1"/>
  <c r="GX34" i="1"/>
  <c r="GV34" i="1"/>
  <c r="GP34" i="1"/>
  <c r="GO34" i="1"/>
  <c r="GL34" i="1"/>
  <c r="CX34" i="1"/>
  <c r="CW34" i="1"/>
  <c r="CV34" i="1"/>
  <c r="CT34" i="1"/>
  <c r="CS34" i="1"/>
  <c r="CR34" i="1"/>
  <c r="CQ34" i="1"/>
  <c r="AJ34" i="1"/>
  <c r="AI34" i="1"/>
  <c r="AH34" i="1"/>
  <c r="AG34" i="1"/>
  <c r="CU34" i="1" s="1"/>
  <c r="T34" i="1" s="1"/>
  <c r="AF34" i="1"/>
  <c r="AE34" i="1"/>
  <c r="AD34" i="1"/>
  <c r="AC34" i="1"/>
  <c r="AB34" i="1"/>
  <c r="W34" i="1"/>
  <c r="Q34" i="1"/>
  <c r="P34" i="1"/>
  <c r="I34" i="1"/>
  <c r="R34" i="1" s="1"/>
  <c r="HC33" i="1"/>
  <c r="GX33" i="1"/>
  <c r="GV33" i="1"/>
  <c r="GP33" i="1"/>
  <c r="GO33" i="1"/>
  <c r="GL33" i="1"/>
  <c r="CY33" i="1"/>
  <c r="X33" i="1" s="1"/>
  <c r="CW33" i="1"/>
  <c r="CV33" i="1"/>
  <c r="CT33" i="1"/>
  <c r="CS33" i="1"/>
  <c r="CR33" i="1"/>
  <c r="CQ33" i="1"/>
  <c r="AJ33" i="1"/>
  <c r="CX33" i="1" s="1"/>
  <c r="W33" i="1" s="1"/>
  <c r="AI33" i="1"/>
  <c r="AH33" i="1"/>
  <c r="AG33" i="1"/>
  <c r="CU33" i="1" s="1"/>
  <c r="T33" i="1" s="1"/>
  <c r="AF33" i="1"/>
  <c r="AE33" i="1"/>
  <c r="AD33" i="1" s="1"/>
  <c r="AC33" i="1"/>
  <c r="V33" i="1"/>
  <c r="U33" i="1"/>
  <c r="S33" i="1"/>
  <c r="CZ33" i="1" s="1"/>
  <c r="Y33" i="1" s="1"/>
  <c r="R33" i="1"/>
  <c r="Q33" i="1"/>
  <c r="P33" i="1"/>
  <c r="CP33" i="1" s="1"/>
  <c r="O33" i="1" s="1"/>
  <c r="GM33" i="1" s="1"/>
  <c r="GN33" i="1" s="1"/>
  <c r="K33" i="1"/>
  <c r="I33" i="1"/>
  <c r="D33" i="1"/>
  <c r="C33" i="1"/>
  <c r="HC32" i="1"/>
  <c r="GX32" i="1"/>
  <c r="GV32" i="1"/>
  <c r="GP32" i="1"/>
  <c r="GO32" i="1"/>
  <c r="GN32" i="1"/>
  <c r="GM32" i="1"/>
  <c r="GL32" i="1"/>
  <c r="CZ32" i="1"/>
  <c r="CY32" i="1"/>
  <c r="CX32" i="1"/>
  <c r="CW32" i="1"/>
  <c r="CV32" i="1"/>
  <c r="CT32" i="1"/>
  <c r="CS32" i="1"/>
  <c r="CR32" i="1"/>
  <c r="CQ32" i="1"/>
  <c r="CP32" i="1"/>
  <c r="AJ32" i="1"/>
  <c r="AI32" i="1"/>
  <c r="AH32" i="1"/>
  <c r="AG32" i="1"/>
  <c r="CU32" i="1" s="1"/>
  <c r="T32" i="1" s="1"/>
  <c r="AF32" i="1"/>
  <c r="AE32" i="1"/>
  <c r="AD32" i="1"/>
  <c r="AC32" i="1"/>
  <c r="AB32" i="1"/>
  <c r="Y32" i="1"/>
  <c r="X32" i="1"/>
  <c r="W32" i="1"/>
  <c r="V32" i="1"/>
  <c r="U32" i="1"/>
  <c r="S32" i="1"/>
  <c r="R32" i="1"/>
  <c r="Q32" i="1"/>
  <c r="P32" i="1"/>
  <c r="O32" i="1"/>
  <c r="I32" i="1"/>
  <c r="HC31" i="1"/>
  <c r="GX31" i="1"/>
  <c r="GV31" i="1"/>
  <c r="GP31" i="1"/>
  <c r="GO31" i="1"/>
  <c r="GL31" i="1"/>
  <c r="CY31" i="1"/>
  <c r="X31" i="1" s="1"/>
  <c r="AZ94" i="7" s="1"/>
  <c r="CW31" i="1"/>
  <c r="CV31" i="1"/>
  <c r="CT31" i="1"/>
  <c r="CS31" i="1"/>
  <c r="CR31" i="1"/>
  <c r="CQ31" i="1"/>
  <c r="AJ31" i="1"/>
  <c r="CX31" i="1" s="1"/>
  <c r="W31" i="1" s="1"/>
  <c r="AI31" i="1"/>
  <c r="AH31" i="1"/>
  <c r="AG31" i="1"/>
  <c r="CU31" i="1" s="1"/>
  <c r="T31" i="1" s="1"/>
  <c r="AF31" i="1"/>
  <c r="AE31" i="1"/>
  <c r="AD31" i="1"/>
  <c r="AC31" i="1"/>
  <c r="AB31" i="1"/>
  <c r="S31" i="1"/>
  <c r="CZ31" i="1" s="1"/>
  <c r="Y31" i="1" s="1"/>
  <c r="R31" i="1"/>
  <c r="Q31" i="1"/>
  <c r="P31" i="1"/>
  <c r="I31" i="1"/>
  <c r="U31" i="1" s="1"/>
  <c r="HC30" i="1"/>
  <c r="GX30" i="1"/>
  <c r="GV30" i="1"/>
  <c r="GP30" i="1"/>
  <c r="GO30" i="1"/>
  <c r="GL30" i="1"/>
  <c r="CW30" i="1"/>
  <c r="CV30" i="1"/>
  <c r="CT30" i="1"/>
  <c r="CS30" i="1"/>
  <c r="CR30" i="1"/>
  <c r="CQ30" i="1"/>
  <c r="AJ30" i="1"/>
  <c r="CX30" i="1" s="1"/>
  <c r="W30" i="1" s="1"/>
  <c r="AI30" i="1"/>
  <c r="AH30" i="1"/>
  <c r="AG30" i="1"/>
  <c r="CU30" i="1" s="1"/>
  <c r="T30" i="1" s="1"/>
  <c r="AF30" i="1"/>
  <c r="AE30" i="1"/>
  <c r="AD30" i="1"/>
  <c r="AB30" i="1" s="1"/>
  <c r="AC30" i="1"/>
  <c r="V30" i="1"/>
  <c r="U30" i="1"/>
  <c r="S30" i="1"/>
  <c r="CZ30" i="1" s="1"/>
  <c r="Y30" i="1" s="1"/>
  <c r="BA99" i="7" s="1"/>
  <c r="R30" i="1"/>
  <c r="Q30" i="1"/>
  <c r="P30" i="1"/>
  <c r="K30" i="1"/>
  <c r="I30" i="1"/>
  <c r="D30" i="1"/>
  <c r="C30" i="1"/>
  <c r="HC29" i="1"/>
  <c r="GX29" i="1"/>
  <c r="GV29" i="1"/>
  <c r="GP29" i="1"/>
  <c r="GO29" i="1"/>
  <c r="GN29" i="1"/>
  <c r="GM29" i="1"/>
  <c r="GL29" i="1"/>
  <c r="CZ29" i="1"/>
  <c r="CY29" i="1"/>
  <c r="CW29" i="1"/>
  <c r="CV29" i="1"/>
  <c r="CT29" i="1"/>
  <c r="CS29" i="1"/>
  <c r="CR29" i="1"/>
  <c r="CQ29" i="1"/>
  <c r="CP29" i="1"/>
  <c r="AJ29" i="1"/>
  <c r="CX29" i="1" s="1"/>
  <c r="W29" i="1" s="1"/>
  <c r="AI29" i="1"/>
  <c r="AH29" i="1"/>
  <c r="AG29" i="1"/>
  <c r="CU29" i="1" s="1"/>
  <c r="T29" i="1" s="1"/>
  <c r="AF29" i="1"/>
  <c r="AE29" i="1"/>
  <c r="AD29" i="1"/>
  <c r="AC29" i="1"/>
  <c r="AB29" i="1"/>
  <c r="Y29" i="1"/>
  <c r="X29" i="1"/>
  <c r="V29" i="1"/>
  <c r="U29" i="1"/>
  <c r="S29" i="1"/>
  <c r="R29" i="1"/>
  <c r="Q29" i="1"/>
  <c r="P29" i="1"/>
  <c r="O29" i="1"/>
  <c r="HC28" i="1"/>
  <c r="GX28" i="1"/>
  <c r="GV28" i="1"/>
  <c r="GP28" i="1"/>
  <c r="GO28" i="1"/>
  <c r="GL28" i="1"/>
  <c r="BZ42" i="1" s="1"/>
  <c r="CX28" i="1"/>
  <c r="W28" i="1" s="1"/>
  <c r="CW28" i="1"/>
  <c r="CV28" i="1"/>
  <c r="CT28" i="1"/>
  <c r="CS28" i="1"/>
  <c r="CR28" i="1"/>
  <c r="CQ28" i="1"/>
  <c r="AJ28" i="1"/>
  <c r="AI28" i="1"/>
  <c r="AH28" i="1"/>
  <c r="AG28" i="1"/>
  <c r="CU28" i="1" s="1"/>
  <c r="T28" i="1" s="1"/>
  <c r="AG42" i="1" s="1"/>
  <c r="AF28" i="1"/>
  <c r="AE28" i="1"/>
  <c r="AD28" i="1" s="1"/>
  <c r="AC28" i="1"/>
  <c r="V28" i="1"/>
  <c r="U28" i="1"/>
  <c r="S28" i="1"/>
  <c r="R28" i="1"/>
  <c r="Q28" i="1"/>
  <c r="P28" i="1"/>
  <c r="K28" i="1"/>
  <c r="I28" i="1"/>
  <c r="D28" i="1"/>
  <c r="C28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AP26" i="1"/>
  <c r="AO26" i="1"/>
  <c r="AN26" i="1"/>
  <c r="AM26" i="1"/>
  <c r="AA26" i="1"/>
  <c r="Z26" i="1"/>
  <c r="G26" i="1"/>
  <c r="F26" i="1"/>
  <c r="E26" i="1"/>
  <c r="D26" i="1"/>
  <c r="C26" i="1"/>
  <c r="B26" i="1"/>
  <c r="D24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G22" i="1"/>
  <c r="F22" i="1"/>
  <c r="E22" i="1"/>
  <c r="D22" i="1"/>
  <c r="C22" i="1"/>
  <c r="B22" i="1"/>
  <c r="D20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F18" i="1"/>
  <c r="E18" i="1"/>
  <c r="D18" i="1"/>
  <c r="C18" i="1"/>
  <c r="B18" i="1"/>
  <c r="D12" i="1"/>
  <c r="H703" i="7"/>
  <c r="C703" i="7"/>
  <c r="H700" i="7"/>
  <c r="C700" i="7"/>
  <c r="L691" i="7"/>
  <c r="L690" i="7"/>
  <c r="L687" i="7"/>
  <c r="L686" i="7"/>
  <c r="L684" i="7"/>
  <c r="L679" i="7"/>
  <c r="L675" i="7"/>
  <c r="L663" i="7"/>
  <c r="L662" i="7"/>
  <c r="L661" i="7"/>
  <c r="L660" i="7"/>
  <c r="L659" i="7"/>
  <c r="L658" i="7"/>
  <c r="L656" i="7" s="1"/>
  <c r="L655" i="7"/>
  <c r="L654" i="7"/>
  <c r="L652" i="7"/>
  <c r="L650" i="7" s="1"/>
  <c r="L649" i="7"/>
  <c r="L644" i="7"/>
  <c r="L643" i="7"/>
  <c r="L642" i="7"/>
  <c r="L637" i="7"/>
  <c r="L636" i="7"/>
  <c r="L634" i="7"/>
  <c r="L632" i="7"/>
  <c r="L631" i="7"/>
  <c r="L630" i="7"/>
  <c r="L629" i="7"/>
  <c r="L628" i="7"/>
  <c r="L627" i="7"/>
  <c r="L625" i="7" s="1"/>
  <c r="L624" i="7"/>
  <c r="L623" i="7"/>
  <c r="L621" i="7"/>
  <c r="L619" i="7" s="1"/>
  <c r="L616" i="7" s="1"/>
  <c r="L614" i="7" s="1"/>
  <c r="L618" i="7"/>
  <c r="L608" i="7"/>
  <c r="L604" i="7"/>
  <c r="L587" i="7"/>
  <c r="L586" i="7"/>
  <c r="L583" i="7"/>
  <c r="L582" i="7"/>
  <c r="L580" i="7"/>
  <c r="L579" i="7"/>
  <c r="L577" i="7"/>
  <c r="L572" i="7"/>
  <c r="L568" i="7"/>
  <c r="L567" i="7"/>
  <c r="BA558" i="7"/>
  <c r="AZ558" i="7"/>
  <c r="AU558" i="7"/>
  <c r="AS558" i="7"/>
  <c r="AP558" i="7"/>
  <c r="AE558" i="7"/>
  <c r="AD558" i="7"/>
  <c r="K558" i="7"/>
  <c r="L557" i="7"/>
  <c r="AN558" i="7" s="1"/>
  <c r="J557" i="7"/>
  <c r="G557" i="7"/>
  <c r="E557" i="7"/>
  <c r="I558" i="7" s="1"/>
  <c r="D557" i="7"/>
  <c r="C557" i="7"/>
  <c r="BB556" i="7"/>
  <c r="BA556" i="7"/>
  <c r="AZ556" i="7"/>
  <c r="AU556" i="7"/>
  <c r="AS556" i="7"/>
  <c r="AP556" i="7"/>
  <c r="AE556" i="7"/>
  <c r="AD556" i="7"/>
  <c r="L555" i="7"/>
  <c r="AN556" i="7" s="1"/>
  <c r="J555" i="7"/>
  <c r="G555" i="7"/>
  <c r="E555" i="7"/>
  <c r="D555" i="7"/>
  <c r="C555" i="7"/>
  <c r="AT554" i="7"/>
  <c r="AO554" i="7"/>
  <c r="L565" i="7" s="1"/>
  <c r="L563" i="7" s="1"/>
  <c r="AE554" i="7"/>
  <c r="AD554" i="7"/>
  <c r="G553" i="7"/>
  <c r="E553" i="7"/>
  <c r="G552" i="7"/>
  <c r="E552" i="7"/>
  <c r="L549" i="7"/>
  <c r="I549" i="7"/>
  <c r="H549" i="7"/>
  <c r="J549" i="7" s="1"/>
  <c r="G549" i="7"/>
  <c r="L548" i="7"/>
  <c r="AW554" i="7" s="1"/>
  <c r="L571" i="7" s="1"/>
  <c r="L569" i="7" s="1"/>
  <c r="L547" i="7"/>
  <c r="L546" i="7" s="1"/>
  <c r="J547" i="7"/>
  <c r="G547" i="7"/>
  <c r="G546" i="7"/>
  <c r="G545" i="7"/>
  <c r="E545" i="7"/>
  <c r="D545" i="7"/>
  <c r="C545" i="7"/>
  <c r="L539" i="7"/>
  <c r="L538" i="7"/>
  <c r="L535" i="7"/>
  <c r="L534" i="7"/>
  <c r="L532" i="7"/>
  <c r="L531" i="7"/>
  <c r="L529" i="7"/>
  <c r="L525" i="7"/>
  <c r="L524" i="7"/>
  <c r="L520" i="7"/>
  <c r="BA510" i="7"/>
  <c r="AZ510" i="7"/>
  <c r="AT510" i="7"/>
  <c r="AR510" i="7"/>
  <c r="AO510" i="7"/>
  <c r="AE510" i="7"/>
  <c r="AD510" i="7"/>
  <c r="L509" i="7"/>
  <c r="K510" i="7" s="1"/>
  <c r="I510" i="7" s="1"/>
  <c r="J509" i="7"/>
  <c r="I509" i="7"/>
  <c r="H509" i="7"/>
  <c r="G509" i="7"/>
  <c r="E509" i="7"/>
  <c r="D509" i="7"/>
  <c r="C509" i="7"/>
  <c r="B509" i="7"/>
  <c r="BA508" i="7"/>
  <c r="AT508" i="7"/>
  <c r="AE508" i="7"/>
  <c r="AD508" i="7"/>
  <c r="L507" i="7"/>
  <c r="G507" i="7"/>
  <c r="E507" i="7"/>
  <c r="G506" i="7"/>
  <c r="E506" i="7"/>
  <c r="L503" i="7"/>
  <c r="L502" i="7" s="1"/>
  <c r="AW508" i="7" s="1"/>
  <c r="J503" i="7"/>
  <c r="I503" i="7"/>
  <c r="H503" i="7"/>
  <c r="G503" i="7"/>
  <c r="L501" i="7"/>
  <c r="J501" i="7"/>
  <c r="E501" i="7"/>
  <c r="G501" i="7" s="1"/>
  <c r="L500" i="7"/>
  <c r="J500" i="7"/>
  <c r="G500" i="7"/>
  <c r="L499" i="7"/>
  <c r="J499" i="7"/>
  <c r="E499" i="7"/>
  <c r="L498" i="7"/>
  <c r="L496" i="7" s="1"/>
  <c r="AO508" i="7" s="1"/>
  <c r="J498" i="7"/>
  <c r="I498" i="7"/>
  <c r="H498" i="7"/>
  <c r="G498" i="7"/>
  <c r="L497" i="7"/>
  <c r="G497" i="7"/>
  <c r="L495" i="7"/>
  <c r="L494" i="7" s="1"/>
  <c r="J495" i="7"/>
  <c r="G495" i="7"/>
  <c r="G494" i="7"/>
  <c r="C493" i="7"/>
  <c r="G492" i="7"/>
  <c r="G499" i="7" s="1"/>
  <c r="E492" i="7"/>
  <c r="D492" i="7"/>
  <c r="C492" i="7"/>
  <c r="AR491" i="7"/>
  <c r="AE491" i="7"/>
  <c r="AD491" i="7"/>
  <c r="G490" i="7"/>
  <c r="F490" i="7"/>
  <c r="E490" i="7"/>
  <c r="G489" i="7"/>
  <c r="F489" i="7"/>
  <c r="E489" i="7"/>
  <c r="AN487" i="7"/>
  <c r="AE487" i="7"/>
  <c r="AD487" i="7"/>
  <c r="L487" i="7"/>
  <c r="AW487" i="7" s="1"/>
  <c r="I487" i="7"/>
  <c r="H487" i="7"/>
  <c r="J487" i="7" s="1"/>
  <c r="G487" i="7"/>
  <c r="E487" i="7"/>
  <c r="D487" i="7"/>
  <c r="C487" i="7"/>
  <c r="B487" i="7"/>
  <c r="G485" i="7"/>
  <c r="E485" i="7"/>
  <c r="D485" i="7"/>
  <c r="C485" i="7"/>
  <c r="B485" i="7"/>
  <c r="L484" i="7"/>
  <c r="J484" i="7"/>
  <c r="G484" i="7"/>
  <c r="L483" i="7"/>
  <c r="L479" i="7" s="1"/>
  <c r="AW491" i="7" s="1"/>
  <c r="J483" i="7"/>
  <c r="I483" i="7"/>
  <c r="H483" i="7"/>
  <c r="G483" i="7"/>
  <c r="L482" i="7"/>
  <c r="I482" i="7"/>
  <c r="H482" i="7"/>
  <c r="J482" i="7" s="1"/>
  <c r="G482" i="7"/>
  <c r="L481" i="7"/>
  <c r="J481" i="7"/>
  <c r="I481" i="7"/>
  <c r="H481" i="7"/>
  <c r="G481" i="7"/>
  <c r="L480" i="7"/>
  <c r="J480" i="7"/>
  <c r="I480" i="7"/>
  <c r="H480" i="7"/>
  <c r="G480" i="7"/>
  <c r="L478" i="7"/>
  <c r="I478" i="7"/>
  <c r="H478" i="7"/>
  <c r="J478" i="7" s="1"/>
  <c r="G478" i="7"/>
  <c r="F478" i="7"/>
  <c r="L477" i="7"/>
  <c r="L475" i="7" s="1"/>
  <c r="J477" i="7"/>
  <c r="F477" i="7"/>
  <c r="E477" i="7"/>
  <c r="G477" i="7" s="1"/>
  <c r="L476" i="7"/>
  <c r="J476" i="7"/>
  <c r="G476" i="7"/>
  <c r="F476" i="7"/>
  <c r="G475" i="7"/>
  <c r="L473" i="7"/>
  <c r="J473" i="7"/>
  <c r="G473" i="7"/>
  <c r="F473" i="7"/>
  <c r="L472" i="7"/>
  <c r="G472" i="7"/>
  <c r="G470" i="7"/>
  <c r="E470" i="7"/>
  <c r="D470" i="7"/>
  <c r="C470" i="7"/>
  <c r="AE469" i="7"/>
  <c r="AD469" i="7"/>
  <c r="G468" i="7"/>
  <c r="F468" i="7"/>
  <c r="E468" i="7"/>
  <c r="G467" i="7"/>
  <c r="F467" i="7"/>
  <c r="E467" i="7"/>
  <c r="AE465" i="7"/>
  <c r="AD465" i="7"/>
  <c r="J465" i="7"/>
  <c r="I465" i="7"/>
  <c r="H465" i="7"/>
  <c r="G465" i="7"/>
  <c r="E465" i="7"/>
  <c r="D465" i="7"/>
  <c r="C465" i="7"/>
  <c r="B465" i="7"/>
  <c r="G463" i="7"/>
  <c r="E463" i="7"/>
  <c r="D463" i="7"/>
  <c r="C463" i="7"/>
  <c r="B463" i="7"/>
  <c r="L462" i="7"/>
  <c r="J462" i="7"/>
  <c r="I462" i="7"/>
  <c r="H462" i="7"/>
  <c r="G462" i="7"/>
  <c r="L461" i="7"/>
  <c r="I461" i="7"/>
  <c r="H461" i="7"/>
  <c r="J461" i="7" s="1"/>
  <c r="G461" i="7"/>
  <c r="L460" i="7"/>
  <c r="AW469" i="7" s="1"/>
  <c r="L459" i="7"/>
  <c r="J459" i="7"/>
  <c r="F459" i="7"/>
  <c r="E459" i="7"/>
  <c r="G459" i="7" s="1"/>
  <c r="L458" i="7"/>
  <c r="J458" i="7"/>
  <c r="G458" i="7"/>
  <c r="F458" i="7"/>
  <c r="L457" i="7"/>
  <c r="L455" i="7" s="1"/>
  <c r="J457" i="7"/>
  <c r="F457" i="7"/>
  <c r="E457" i="7"/>
  <c r="G457" i="7" s="1"/>
  <c r="L456" i="7"/>
  <c r="J456" i="7"/>
  <c r="I456" i="7"/>
  <c r="H456" i="7"/>
  <c r="G456" i="7"/>
  <c r="F456" i="7"/>
  <c r="G455" i="7"/>
  <c r="L453" i="7"/>
  <c r="L452" i="7" s="1"/>
  <c r="J453" i="7"/>
  <c r="G453" i="7"/>
  <c r="F453" i="7"/>
  <c r="G452" i="7"/>
  <c r="C451" i="7"/>
  <c r="G449" i="7"/>
  <c r="E449" i="7"/>
  <c r="D449" i="7"/>
  <c r="C449" i="7"/>
  <c r="BA448" i="7"/>
  <c r="L447" i="7" s="1"/>
  <c r="AE448" i="7"/>
  <c r="AD448" i="7"/>
  <c r="G447" i="7"/>
  <c r="F447" i="7"/>
  <c r="E447" i="7"/>
  <c r="G446" i="7"/>
  <c r="F446" i="7"/>
  <c r="E446" i="7"/>
  <c r="L443" i="7"/>
  <c r="I443" i="7"/>
  <c r="H443" i="7"/>
  <c r="J443" i="7" s="1"/>
  <c r="G443" i="7"/>
  <c r="F443" i="7"/>
  <c r="L442" i="7"/>
  <c r="I442" i="7"/>
  <c r="J442" i="7" s="1"/>
  <c r="H442" i="7"/>
  <c r="G442" i="7"/>
  <c r="F442" i="7"/>
  <c r="L441" i="7"/>
  <c r="AW448" i="7" s="1"/>
  <c r="L440" i="7"/>
  <c r="J440" i="7"/>
  <c r="I440" i="7"/>
  <c r="H440" i="7"/>
  <c r="G440" i="7"/>
  <c r="F440" i="7"/>
  <c r="L439" i="7"/>
  <c r="J439" i="7"/>
  <c r="G439" i="7"/>
  <c r="F439" i="7"/>
  <c r="E439" i="7"/>
  <c r="L438" i="7"/>
  <c r="J438" i="7"/>
  <c r="G438" i="7"/>
  <c r="F438" i="7"/>
  <c r="L437" i="7"/>
  <c r="L434" i="7" s="1"/>
  <c r="J437" i="7"/>
  <c r="G437" i="7"/>
  <c r="F437" i="7"/>
  <c r="E437" i="7"/>
  <c r="L436" i="7"/>
  <c r="J436" i="7"/>
  <c r="G436" i="7"/>
  <c r="F436" i="7"/>
  <c r="L435" i="7"/>
  <c r="J435" i="7"/>
  <c r="I435" i="7"/>
  <c r="H435" i="7"/>
  <c r="G435" i="7"/>
  <c r="F435" i="7"/>
  <c r="G434" i="7"/>
  <c r="L432" i="7"/>
  <c r="L431" i="7" s="1"/>
  <c r="J432" i="7"/>
  <c r="G432" i="7"/>
  <c r="F432" i="7"/>
  <c r="G431" i="7"/>
  <c r="C430" i="7"/>
  <c r="C429" i="7"/>
  <c r="B429" i="7"/>
  <c r="G428" i="7"/>
  <c r="E428" i="7"/>
  <c r="D428" i="7"/>
  <c r="AE427" i="7"/>
  <c r="AD427" i="7"/>
  <c r="G426" i="7"/>
  <c r="E426" i="7"/>
  <c r="G425" i="7"/>
  <c r="E425" i="7"/>
  <c r="BA423" i="7"/>
  <c r="AZ423" i="7"/>
  <c r="AE423" i="7"/>
  <c r="AD423" i="7"/>
  <c r="L423" i="7"/>
  <c r="AW423" i="7" s="1"/>
  <c r="J423" i="7"/>
  <c r="G423" i="7"/>
  <c r="E423" i="7"/>
  <c r="D423" i="7"/>
  <c r="C423" i="7"/>
  <c r="B423" i="7"/>
  <c r="BA422" i="7"/>
  <c r="AZ422" i="7"/>
  <c r="AW422" i="7"/>
  <c r="AN422" i="7"/>
  <c r="AE422" i="7"/>
  <c r="AD422" i="7"/>
  <c r="L422" i="7"/>
  <c r="I422" i="7"/>
  <c r="H422" i="7"/>
  <c r="J422" i="7" s="1"/>
  <c r="G422" i="7"/>
  <c r="E422" i="7"/>
  <c r="D422" i="7"/>
  <c r="C422" i="7"/>
  <c r="B422" i="7"/>
  <c r="BA421" i="7"/>
  <c r="AZ421" i="7"/>
  <c r="AW421" i="7"/>
  <c r="AN421" i="7"/>
  <c r="AE421" i="7"/>
  <c r="AD421" i="7"/>
  <c r="L421" i="7"/>
  <c r="I421" i="7"/>
  <c r="H421" i="7"/>
  <c r="J421" i="7" s="1"/>
  <c r="G421" i="7"/>
  <c r="E421" i="7"/>
  <c r="D421" i="7"/>
  <c r="C421" i="7"/>
  <c r="B421" i="7"/>
  <c r="G419" i="7"/>
  <c r="E419" i="7"/>
  <c r="D419" i="7"/>
  <c r="C419" i="7"/>
  <c r="B419" i="7"/>
  <c r="G418" i="7"/>
  <c r="E418" i="7"/>
  <c r="D418" i="7"/>
  <c r="C418" i="7"/>
  <c r="B418" i="7"/>
  <c r="G417" i="7"/>
  <c r="E417" i="7"/>
  <c r="D417" i="7"/>
  <c r="C417" i="7"/>
  <c r="B417" i="7"/>
  <c r="L416" i="7"/>
  <c r="I416" i="7"/>
  <c r="H416" i="7"/>
  <c r="J416" i="7" s="1"/>
  <c r="G416" i="7"/>
  <c r="L415" i="7"/>
  <c r="J415" i="7"/>
  <c r="I415" i="7"/>
  <c r="H415" i="7"/>
  <c r="G415" i="7"/>
  <c r="L414" i="7"/>
  <c r="L412" i="7" s="1"/>
  <c r="AW427" i="7" s="1"/>
  <c r="J414" i="7"/>
  <c r="I414" i="7"/>
  <c r="H414" i="7"/>
  <c r="G414" i="7"/>
  <c r="L413" i="7"/>
  <c r="I413" i="7"/>
  <c r="H413" i="7"/>
  <c r="J413" i="7" s="1"/>
  <c r="G413" i="7"/>
  <c r="L411" i="7"/>
  <c r="J411" i="7"/>
  <c r="G411" i="7"/>
  <c r="L410" i="7"/>
  <c r="I410" i="7"/>
  <c r="H410" i="7"/>
  <c r="J410" i="7" s="1"/>
  <c r="G410" i="7"/>
  <c r="L409" i="7"/>
  <c r="J409" i="7"/>
  <c r="E409" i="7"/>
  <c r="L408" i="7"/>
  <c r="J408" i="7"/>
  <c r="G408" i="7"/>
  <c r="L407" i="7"/>
  <c r="L405" i="7" s="1"/>
  <c r="J407" i="7"/>
  <c r="E407" i="7"/>
  <c r="L406" i="7"/>
  <c r="I406" i="7"/>
  <c r="H406" i="7"/>
  <c r="J406" i="7" s="1"/>
  <c r="G406" i="7"/>
  <c r="G405" i="7"/>
  <c r="L403" i="7"/>
  <c r="J403" i="7"/>
  <c r="G403" i="7"/>
  <c r="L402" i="7"/>
  <c r="G402" i="7"/>
  <c r="C401" i="7"/>
  <c r="G400" i="7"/>
  <c r="G407" i="7" s="1"/>
  <c r="E400" i="7"/>
  <c r="D400" i="7"/>
  <c r="C400" i="7"/>
  <c r="L394" i="7"/>
  <c r="L393" i="7"/>
  <c r="L390" i="7"/>
  <c r="L389" i="7"/>
  <c r="L387" i="7"/>
  <c r="L386" i="7"/>
  <c r="L384" i="7"/>
  <c r="L380" i="7"/>
  <c r="L379" i="7"/>
  <c r="L375" i="7"/>
  <c r="AT365" i="7"/>
  <c r="AR365" i="7"/>
  <c r="AE365" i="7"/>
  <c r="AD365" i="7"/>
  <c r="G364" i="7"/>
  <c r="E364" i="7"/>
  <c r="G363" i="7"/>
  <c r="E363" i="7"/>
  <c r="L362" i="7"/>
  <c r="BA361" i="7"/>
  <c r="AZ361" i="7"/>
  <c r="AE361" i="7"/>
  <c r="AD361" i="7"/>
  <c r="L361" i="7"/>
  <c r="AW361" i="7" s="1"/>
  <c r="H361" i="7"/>
  <c r="G361" i="7"/>
  <c r="E361" i="7"/>
  <c r="D361" i="7"/>
  <c r="C361" i="7"/>
  <c r="B361" i="7"/>
  <c r="BA360" i="7"/>
  <c r="AZ360" i="7"/>
  <c r="AW360" i="7"/>
  <c r="AN360" i="7"/>
  <c r="AE360" i="7"/>
  <c r="AD360" i="7"/>
  <c r="L360" i="7"/>
  <c r="I360" i="7"/>
  <c r="H360" i="7"/>
  <c r="J360" i="7" s="1"/>
  <c r="G360" i="7"/>
  <c r="E360" i="7"/>
  <c r="D360" i="7"/>
  <c r="C360" i="7"/>
  <c r="B360" i="7"/>
  <c r="BA359" i="7"/>
  <c r="AZ359" i="7"/>
  <c r="AE359" i="7"/>
  <c r="AD359" i="7"/>
  <c r="L359" i="7"/>
  <c r="AN359" i="7" s="1"/>
  <c r="J359" i="7"/>
  <c r="I359" i="7"/>
  <c r="H359" i="7"/>
  <c r="G359" i="7"/>
  <c r="E359" i="7"/>
  <c r="D359" i="7"/>
  <c r="C359" i="7"/>
  <c r="B359" i="7"/>
  <c r="G357" i="7"/>
  <c r="E357" i="7"/>
  <c r="D357" i="7"/>
  <c r="C357" i="7"/>
  <c r="B357" i="7"/>
  <c r="L356" i="7"/>
  <c r="L354" i="7" s="1"/>
  <c r="AW365" i="7" s="1"/>
  <c r="J356" i="7"/>
  <c r="I356" i="7"/>
  <c r="H356" i="7"/>
  <c r="G356" i="7"/>
  <c r="L355" i="7"/>
  <c r="I355" i="7"/>
  <c r="J355" i="7" s="1"/>
  <c r="H355" i="7"/>
  <c r="G355" i="7"/>
  <c r="L353" i="7"/>
  <c r="J353" i="7"/>
  <c r="E353" i="7"/>
  <c r="G353" i="7" s="1"/>
  <c r="L352" i="7"/>
  <c r="J352" i="7"/>
  <c r="G352" i="7"/>
  <c r="L351" i="7"/>
  <c r="L350" i="7" s="1"/>
  <c r="AO365" i="7" s="1"/>
  <c r="G351" i="7"/>
  <c r="L349" i="7"/>
  <c r="J349" i="7"/>
  <c r="G349" i="7"/>
  <c r="L348" i="7"/>
  <c r="G348" i="7"/>
  <c r="C347" i="7"/>
  <c r="G346" i="7"/>
  <c r="E346" i="7"/>
  <c r="D346" i="7"/>
  <c r="C346" i="7"/>
  <c r="BA345" i="7"/>
  <c r="AT345" i="7"/>
  <c r="AE345" i="7"/>
  <c r="AD345" i="7"/>
  <c r="G344" i="7"/>
  <c r="F344" i="7"/>
  <c r="E344" i="7"/>
  <c r="G343" i="7"/>
  <c r="F343" i="7"/>
  <c r="E343" i="7"/>
  <c r="BA341" i="7"/>
  <c r="AZ341" i="7"/>
  <c r="AW341" i="7"/>
  <c r="AN341" i="7"/>
  <c r="AE341" i="7"/>
  <c r="AD341" i="7"/>
  <c r="L341" i="7"/>
  <c r="I341" i="7"/>
  <c r="H341" i="7"/>
  <c r="J341" i="7" s="1"/>
  <c r="G341" i="7"/>
  <c r="E341" i="7"/>
  <c r="D341" i="7"/>
  <c r="C341" i="7"/>
  <c r="B341" i="7"/>
  <c r="AE340" i="7"/>
  <c r="AD340" i="7"/>
  <c r="L340" i="7"/>
  <c r="AW340" i="7" s="1"/>
  <c r="J340" i="7"/>
  <c r="I340" i="7"/>
  <c r="H340" i="7"/>
  <c r="G340" i="7"/>
  <c r="E340" i="7"/>
  <c r="D340" i="7"/>
  <c r="C340" i="7"/>
  <c r="B340" i="7"/>
  <c r="G338" i="7"/>
  <c r="E338" i="7"/>
  <c r="D338" i="7"/>
  <c r="C338" i="7"/>
  <c r="B338" i="7"/>
  <c r="G337" i="7"/>
  <c r="E337" i="7"/>
  <c r="D337" i="7"/>
  <c r="C337" i="7"/>
  <c r="B337" i="7"/>
  <c r="L336" i="7"/>
  <c r="I336" i="7"/>
  <c r="H336" i="7"/>
  <c r="J336" i="7" s="1"/>
  <c r="G336" i="7"/>
  <c r="L335" i="7"/>
  <c r="J335" i="7"/>
  <c r="I335" i="7"/>
  <c r="H335" i="7"/>
  <c r="G335" i="7"/>
  <c r="L334" i="7"/>
  <c r="L333" i="7" s="1"/>
  <c r="AW345" i="7" s="1"/>
  <c r="J334" i="7"/>
  <c r="I334" i="7"/>
  <c r="H334" i="7"/>
  <c r="G334" i="7"/>
  <c r="L332" i="7"/>
  <c r="J332" i="7"/>
  <c r="G332" i="7"/>
  <c r="F332" i="7"/>
  <c r="E332" i="7"/>
  <c r="L331" i="7"/>
  <c r="L327" i="7" s="1"/>
  <c r="AO345" i="7" s="1"/>
  <c r="J331" i="7"/>
  <c r="G331" i="7"/>
  <c r="F331" i="7"/>
  <c r="L330" i="7"/>
  <c r="J330" i="7"/>
  <c r="G330" i="7"/>
  <c r="F330" i="7"/>
  <c r="E330" i="7"/>
  <c r="L329" i="7"/>
  <c r="I329" i="7"/>
  <c r="H329" i="7"/>
  <c r="J329" i="7" s="1"/>
  <c r="G329" i="7"/>
  <c r="F329" i="7"/>
  <c r="L328" i="7"/>
  <c r="G328" i="7"/>
  <c r="L326" i="7"/>
  <c r="J326" i="7"/>
  <c r="G326" i="7"/>
  <c r="F326" i="7"/>
  <c r="L325" i="7"/>
  <c r="AR345" i="7" s="1"/>
  <c r="L342" i="7" s="1"/>
  <c r="G325" i="7"/>
  <c r="C324" i="7"/>
  <c r="G322" i="7"/>
  <c r="E322" i="7"/>
  <c r="D322" i="7"/>
  <c r="C322" i="7"/>
  <c r="AE321" i="7"/>
  <c r="AD321" i="7"/>
  <c r="G320" i="7"/>
  <c r="F320" i="7"/>
  <c r="E320" i="7"/>
  <c r="G319" i="7"/>
  <c r="F319" i="7"/>
  <c r="E319" i="7"/>
  <c r="L316" i="7"/>
  <c r="I316" i="7"/>
  <c r="H316" i="7"/>
  <c r="J316" i="7" s="1"/>
  <c r="G316" i="7"/>
  <c r="L315" i="7"/>
  <c r="L314" i="7" s="1"/>
  <c r="AW321" i="7" s="1"/>
  <c r="J315" i="7"/>
  <c r="I315" i="7"/>
  <c r="H315" i="7"/>
  <c r="G315" i="7"/>
  <c r="L313" i="7"/>
  <c r="L311" i="7" s="1"/>
  <c r="J313" i="7"/>
  <c r="G313" i="7"/>
  <c r="F313" i="7"/>
  <c r="E313" i="7"/>
  <c r="L312" i="7"/>
  <c r="I312" i="7"/>
  <c r="H312" i="7"/>
  <c r="J312" i="7" s="1"/>
  <c r="G312" i="7"/>
  <c r="F312" i="7"/>
  <c r="G311" i="7"/>
  <c r="L309" i="7"/>
  <c r="J309" i="7"/>
  <c r="G309" i="7"/>
  <c r="F309" i="7"/>
  <c r="L308" i="7"/>
  <c r="G308" i="7"/>
  <c r="C307" i="7"/>
  <c r="G305" i="7"/>
  <c r="E305" i="7"/>
  <c r="D305" i="7"/>
  <c r="C305" i="7"/>
  <c r="AE304" i="7"/>
  <c r="AD304" i="7"/>
  <c r="G303" i="7"/>
  <c r="F303" i="7"/>
  <c r="E303" i="7"/>
  <c r="G302" i="7"/>
  <c r="F302" i="7"/>
  <c r="E302" i="7"/>
  <c r="BA300" i="7"/>
  <c r="AZ300" i="7"/>
  <c r="AW300" i="7"/>
  <c r="AN300" i="7"/>
  <c r="AE300" i="7"/>
  <c r="AD300" i="7"/>
  <c r="L300" i="7"/>
  <c r="I300" i="7"/>
  <c r="H300" i="7"/>
  <c r="J300" i="7" s="1"/>
  <c r="G300" i="7"/>
  <c r="E300" i="7"/>
  <c r="D300" i="7"/>
  <c r="C300" i="7"/>
  <c r="B300" i="7"/>
  <c r="AE299" i="7"/>
  <c r="AD299" i="7"/>
  <c r="J299" i="7"/>
  <c r="I299" i="7"/>
  <c r="H299" i="7"/>
  <c r="G299" i="7"/>
  <c r="E299" i="7"/>
  <c r="D299" i="7"/>
  <c r="C299" i="7"/>
  <c r="B299" i="7"/>
  <c r="G297" i="7"/>
  <c r="E297" i="7"/>
  <c r="D297" i="7"/>
  <c r="C297" i="7"/>
  <c r="B297" i="7"/>
  <c r="G296" i="7"/>
  <c r="E296" i="7"/>
  <c r="D296" i="7"/>
  <c r="C296" i="7"/>
  <c r="B296" i="7"/>
  <c r="L295" i="7"/>
  <c r="J295" i="7"/>
  <c r="G295" i="7"/>
  <c r="L294" i="7"/>
  <c r="I294" i="7"/>
  <c r="J294" i="7" s="1"/>
  <c r="H294" i="7"/>
  <c r="G294" i="7"/>
  <c r="L293" i="7"/>
  <c r="J293" i="7"/>
  <c r="I293" i="7"/>
  <c r="H293" i="7"/>
  <c r="G293" i="7"/>
  <c r="L292" i="7"/>
  <c r="I292" i="7"/>
  <c r="H292" i="7"/>
  <c r="J292" i="7" s="1"/>
  <c r="G292" i="7"/>
  <c r="L291" i="7"/>
  <c r="I291" i="7"/>
  <c r="H291" i="7"/>
  <c r="J291" i="7" s="1"/>
  <c r="G291" i="7"/>
  <c r="L290" i="7"/>
  <c r="J290" i="7"/>
  <c r="I290" i="7"/>
  <c r="H290" i="7"/>
  <c r="G290" i="7"/>
  <c r="L289" i="7"/>
  <c r="J289" i="7"/>
  <c r="I289" i="7"/>
  <c r="H289" i="7"/>
  <c r="G289" i="7"/>
  <c r="L288" i="7"/>
  <c r="I288" i="7"/>
  <c r="H288" i="7"/>
  <c r="J288" i="7" s="1"/>
  <c r="G288" i="7"/>
  <c r="L287" i="7"/>
  <c r="J287" i="7"/>
  <c r="I287" i="7"/>
  <c r="H287" i="7"/>
  <c r="G287" i="7"/>
  <c r="L286" i="7"/>
  <c r="I286" i="7"/>
  <c r="J286" i="7" s="1"/>
  <c r="H286" i="7"/>
  <c r="G286" i="7"/>
  <c r="L285" i="7"/>
  <c r="J285" i="7"/>
  <c r="I285" i="7"/>
  <c r="H285" i="7"/>
  <c r="G285" i="7"/>
  <c r="L284" i="7"/>
  <c r="I284" i="7"/>
  <c r="H284" i="7"/>
  <c r="J284" i="7" s="1"/>
  <c r="G284" i="7"/>
  <c r="L283" i="7"/>
  <c r="I283" i="7"/>
  <c r="H283" i="7"/>
  <c r="J283" i="7" s="1"/>
  <c r="G283" i="7"/>
  <c r="L282" i="7"/>
  <c r="J282" i="7"/>
  <c r="I282" i="7"/>
  <c r="H282" i="7"/>
  <c r="G282" i="7"/>
  <c r="L281" i="7"/>
  <c r="J281" i="7"/>
  <c r="I281" i="7"/>
  <c r="H281" i="7"/>
  <c r="G281" i="7"/>
  <c r="L280" i="7"/>
  <c r="J280" i="7"/>
  <c r="G280" i="7"/>
  <c r="L279" i="7"/>
  <c r="L278" i="7" s="1"/>
  <c r="AW304" i="7" s="1"/>
  <c r="J279" i="7"/>
  <c r="I279" i="7"/>
  <c r="H279" i="7"/>
  <c r="G279" i="7"/>
  <c r="L277" i="7"/>
  <c r="I277" i="7"/>
  <c r="H277" i="7"/>
  <c r="J277" i="7" s="1"/>
  <c r="G277" i="7"/>
  <c r="F277" i="7"/>
  <c r="L276" i="7"/>
  <c r="J276" i="7"/>
  <c r="F276" i="7"/>
  <c r="E276" i="7"/>
  <c r="G276" i="7" s="1"/>
  <c r="L275" i="7"/>
  <c r="J275" i="7"/>
  <c r="G275" i="7"/>
  <c r="F275" i="7"/>
  <c r="L274" i="7"/>
  <c r="L272" i="7" s="1"/>
  <c r="J274" i="7"/>
  <c r="F274" i="7"/>
  <c r="E274" i="7"/>
  <c r="G274" i="7" s="1"/>
  <c r="L273" i="7"/>
  <c r="J273" i="7"/>
  <c r="G273" i="7"/>
  <c r="F273" i="7"/>
  <c r="G272" i="7"/>
  <c r="L270" i="7"/>
  <c r="L269" i="7" s="1"/>
  <c r="J270" i="7"/>
  <c r="G270" i="7"/>
  <c r="F270" i="7"/>
  <c r="G269" i="7"/>
  <c r="C268" i="7"/>
  <c r="G266" i="7"/>
  <c r="E266" i="7"/>
  <c r="D266" i="7"/>
  <c r="C266" i="7"/>
  <c r="AW265" i="7"/>
  <c r="AE265" i="7"/>
  <c r="AD265" i="7"/>
  <c r="G264" i="7"/>
  <c r="E264" i="7"/>
  <c r="G263" i="7"/>
  <c r="E263" i="7"/>
  <c r="L260" i="7"/>
  <c r="J260" i="7"/>
  <c r="E260" i="7"/>
  <c r="G260" i="7" s="1"/>
  <c r="L259" i="7"/>
  <c r="J259" i="7"/>
  <c r="I259" i="7"/>
  <c r="H259" i="7"/>
  <c r="G259" i="7"/>
  <c r="L258" i="7"/>
  <c r="AT265" i="7" s="1"/>
  <c r="G258" i="7"/>
  <c r="L256" i="7"/>
  <c r="L255" i="7" s="1"/>
  <c r="J256" i="7"/>
  <c r="G256" i="7"/>
  <c r="G255" i="7"/>
  <c r="C254" i="7"/>
  <c r="G253" i="7"/>
  <c r="E253" i="7"/>
  <c r="D253" i="7"/>
  <c r="C253" i="7"/>
  <c r="AR252" i="7"/>
  <c r="AE252" i="7"/>
  <c r="AD252" i="7"/>
  <c r="G251" i="7"/>
  <c r="E251" i="7"/>
  <c r="G250" i="7"/>
  <c r="E250" i="7"/>
  <c r="BA248" i="7"/>
  <c r="AZ248" i="7"/>
  <c r="AW248" i="7"/>
  <c r="AE248" i="7"/>
  <c r="AD248" i="7"/>
  <c r="L248" i="7"/>
  <c r="AN248" i="7" s="1"/>
  <c r="J248" i="7"/>
  <c r="G248" i="7"/>
  <c r="E248" i="7"/>
  <c r="D248" i="7"/>
  <c r="C248" i="7"/>
  <c r="B248" i="7"/>
  <c r="BA247" i="7"/>
  <c r="AZ247" i="7"/>
  <c r="AW247" i="7"/>
  <c r="AE247" i="7"/>
  <c r="AD247" i="7"/>
  <c r="L247" i="7"/>
  <c r="AN247" i="7" s="1"/>
  <c r="I247" i="7"/>
  <c r="H247" i="7"/>
  <c r="J247" i="7" s="1"/>
  <c r="G247" i="7"/>
  <c r="E247" i="7"/>
  <c r="D247" i="7"/>
  <c r="C247" i="7"/>
  <c r="B247" i="7"/>
  <c r="BA246" i="7"/>
  <c r="AZ246" i="7"/>
  <c r="AN246" i="7"/>
  <c r="AE246" i="7"/>
  <c r="AD246" i="7"/>
  <c r="L246" i="7"/>
  <c r="AW246" i="7" s="1"/>
  <c r="J246" i="7"/>
  <c r="I246" i="7"/>
  <c r="H246" i="7"/>
  <c r="G246" i="7"/>
  <c r="E246" i="7"/>
  <c r="D246" i="7"/>
  <c r="C246" i="7"/>
  <c r="B246" i="7"/>
  <c r="G244" i="7"/>
  <c r="E244" i="7"/>
  <c r="D244" i="7"/>
  <c r="C244" i="7"/>
  <c r="B244" i="7"/>
  <c r="G243" i="7"/>
  <c r="E243" i="7"/>
  <c r="D243" i="7"/>
  <c r="C243" i="7"/>
  <c r="B243" i="7"/>
  <c r="G242" i="7"/>
  <c r="E242" i="7"/>
  <c r="D242" i="7"/>
  <c r="C242" i="7"/>
  <c r="B242" i="7"/>
  <c r="L241" i="7"/>
  <c r="I241" i="7"/>
  <c r="H241" i="7"/>
  <c r="J241" i="7" s="1"/>
  <c r="G241" i="7"/>
  <c r="L240" i="7"/>
  <c r="J240" i="7"/>
  <c r="I240" i="7"/>
  <c r="H240" i="7"/>
  <c r="G240" i="7"/>
  <c r="L239" i="7"/>
  <c r="I239" i="7"/>
  <c r="J239" i="7" s="1"/>
  <c r="H239" i="7"/>
  <c r="G239" i="7"/>
  <c r="L238" i="7"/>
  <c r="J238" i="7"/>
  <c r="I238" i="7"/>
  <c r="H238" i="7"/>
  <c r="G238" i="7"/>
  <c r="L237" i="7"/>
  <c r="AW252" i="7" s="1"/>
  <c r="L236" i="7"/>
  <c r="J236" i="7"/>
  <c r="G236" i="7"/>
  <c r="L235" i="7"/>
  <c r="I235" i="7"/>
  <c r="H235" i="7"/>
  <c r="J235" i="7" s="1"/>
  <c r="G235" i="7"/>
  <c r="L234" i="7"/>
  <c r="J234" i="7"/>
  <c r="E234" i="7"/>
  <c r="L233" i="7"/>
  <c r="J233" i="7"/>
  <c r="G233" i="7"/>
  <c r="L232" i="7"/>
  <c r="L230" i="7" s="1"/>
  <c r="J232" i="7"/>
  <c r="E232" i="7"/>
  <c r="L231" i="7"/>
  <c r="I231" i="7"/>
  <c r="H231" i="7"/>
  <c r="J231" i="7" s="1"/>
  <c r="G231" i="7"/>
  <c r="G230" i="7"/>
  <c r="L228" i="7"/>
  <c r="J228" i="7"/>
  <c r="G228" i="7"/>
  <c r="L227" i="7"/>
  <c r="G227" i="7"/>
  <c r="C226" i="7"/>
  <c r="G225" i="7"/>
  <c r="G234" i="7" s="1"/>
  <c r="E225" i="7"/>
  <c r="D225" i="7"/>
  <c r="C225" i="7"/>
  <c r="L219" i="7"/>
  <c r="L218" i="7"/>
  <c r="L215" i="7"/>
  <c r="L214" i="7"/>
  <c r="L212" i="7"/>
  <c r="L211" i="7"/>
  <c r="L209" i="7"/>
  <c r="L205" i="7"/>
  <c r="L204" i="7"/>
  <c r="L200" i="7"/>
  <c r="AE190" i="7"/>
  <c r="AD190" i="7"/>
  <c r="G189" i="7"/>
  <c r="F189" i="7"/>
  <c r="E189" i="7"/>
  <c r="G188" i="7"/>
  <c r="F188" i="7"/>
  <c r="E188" i="7"/>
  <c r="AE186" i="7"/>
  <c r="AD186" i="7"/>
  <c r="L186" i="7"/>
  <c r="AW186" i="7" s="1"/>
  <c r="J186" i="7"/>
  <c r="I186" i="7"/>
  <c r="H186" i="7"/>
  <c r="G186" i="7"/>
  <c r="E186" i="7"/>
  <c r="D186" i="7"/>
  <c r="C186" i="7"/>
  <c r="B186" i="7"/>
  <c r="G184" i="7"/>
  <c r="E184" i="7"/>
  <c r="D184" i="7"/>
  <c r="C184" i="7"/>
  <c r="B184" i="7"/>
  <c r="L183" i="7"/>
  <c r="J183" i="7"/>
  <c r="G183" i="7"/>
  <c r="L182" i="7"/>
  <c r="I182" i="7"/>
  <c r="H182" i="7"/>
  <c r="J182" i="7" s="1"/>
  <c r="G182" i="7"/>
  <c r="L181" i="7"/>
  <c r="J181" i="7"/>
  <c r="I181" i="7"/>
  <c r="H181" i="7"/>
  <c r="G181" i="7"/>
  <c r="L180" i="7"/>
  <c r="J180" i="7"/>
  <c r="I180" i="7"/>
  <c r="H180" i="7"/>
  <c r="G180" i="7"/>
  <c r="L179" i="7"/>
  <c r="L178" i="7" s="1"/>
  <c r="AW190" i="7" s="1"/>
  <c r="I179" i="7"/>
  <c r="H179" i="7"/>
  <c r="J179" i="7" s="1"/>
  <c r="G179" i="7"/>
  <c r="L177" i="7"/>
  <c r="J177" i="7"/>
  <c r="I177" i="7"/>
  <c r="H177" i="7"/>
  <c r="G177" i="7"/>
  <c r="F177" i="7"/>
  <c r="L176" i="7"/>
  <c r="L174" i="7" s="1"/>
  <c r="J176" i="7"/>
  <c r="F176" i="7"/>
  <c r="E176" i="7"/>
  <c r="L175" i="7"/>
  <c r="J175" i="7"/>
  <c r="G175" i="7"/>
  <c r="F175" i="7"/>
  <c r="G174" i="7"/>
  <c r="L172" i="7"/>
  <c r="J172" i="7"/>
  <c r="G172" i="7"/>
  <c r="F172" i="7"/>
  <c r="L171" i="7"/>
  <c r="G171" i="7"/>
  <c r="G169" i="7"/>
  <c r="G176" i="7" s="1"/>
  <c r="E169" i="7"/>
  <c r="D169" i="7"/>
  <c r="C169" i="7"/>
  <c r="AR168" i="7"/>
  <c r="AE168" i="7"/>
  <c r="AD168" i="7"/>
  <c r="G167" i="7"/>
  <c r="F167" i="7"/>
  <c r="E167" i="7"/>
  <c r="G166" i="7"/>
  <c r="F166" i="7"/>
  <c r="E166" i="7"/>
  <c r="AE164" i="7"/>
  <c r="AD164" i="7"/>
  <c r="I164" i="7"/>
  <c r="H164" i="7"/>
  <c r="J164" i="7" s="1"/>
  <c r="G164" i="7"/>
  <c r="E164" i="7"/>
  <c r="D164" i="7"/>
  <c r="C164" i="7"/>
  <c r="B164" i="7"/>
  <c r="G162" i="7"/>
  <c r="E162" i="7"/>
  <c r="D162" i="7"/>
  <c r="C162" i="7"/>
  <c r="B162" i="7"/>
  <c r="L161" i="7"/>
  <c r="J161" i="7"/>
  <c r="I161" i="7"/>
  <c r="H161" i="7"/>
  <c r="G161" i="7"/>
  <c r="L160" i="7"/>
  <c r="L159" i="7" s="1"/>
  <c r="AW168" i="7" s="1"/>
  <c r="I160" i="7"/>
  <c r="H160" i="7"/>
  <c r="J160" i="7" s="1"/>
  <c r="G160" i="7"/>
  <c r="L158" i="7"/>
  <c r="J158" i="7"/>
  <c r="G158" i="7"/>
  <c r="F158" i="7"/>
  <c r="E158" i="7"/>
  <c r="L157" i="7"/>
  <c r="J157" i="7"/>
  <c r="G157" i="7"/>
  <c r="F157" i="7"/>
  <c r="L156" i="7"/>
  <c r="J156" i="7"/>
  <c r="F156" i="7"/>
  <c r="E156" i="7"/>
  <c r="G156" i="7" s="1"/>
  <c r="L155" i="7"/>
  <c r="I155" i="7"/>
  <c r="H155" i="7"/>
  <c r="J155" i="7" s="1"/>
  <c r="G155" i="7"/>
  <c r="F155" i="7"/>
  <c r="L154" i="7"/>
  <c r="L153" i="7" s="1"/>
  <c r="AO168" i="7" s="1"/>
  <c r="G154" i="7"/>
  <c r="L152" i="7"/>
  <c r="J152" i="7"/>
  <c r="G152" i="7"/>
  <c r="F152" i="7"/>
  <c r="L151" i="7"/>
  <c r="G151" i="7"/>
  <c r="C150" i="7"/>
  <c r="G148" i="7"/>
  <c r="E148" i="7"/>
  <c r="D148" i="7"/>
  <c r="C148" i="7"/>
  <c r="AT147" i="7"/>
  <c r="AE147" i="7"/>
  <c r="AD147" i="7"/>
  <c r="G146" i="7"/>
  <c r="F146" i="7"/>
  <c r="E146" i="7"/>
  <c r="G145" i="7"/>
  <c r="F145" i="7"/>
  <c r="E145" i="7"/>
  <c r="L142" i="7"/>
  <c r="L140" i="7" s="1"/>
  <c r="AW147" i="7" s="1"/>
  <c r="I142" i="7"/>
  <c r="H142" i="7"/>
  <c r="J142" i="7" s="1"/>
  <c r="G142" i="7"/>
  <c r="F142" i="7"/>
  <c r="L141" i="7"/>
  <c r="I141" i="7"/>
  <c r="J141" i="7" s="1"/>
  <c r="H141" i="7"/>
  <c r="G141" i="7"/>
  <c r="F141" i="7"/>
  <c r="L139" i="7"/>
  <c r="I139" i="7"/>
  <c r="H139" i="7"/>
  <c r="J139" i="7" s="1"/>
  <c r="G139" i="7"/>
  <c r="F139" i="7"/>
  <c r="L138" i="7"/>
  <c r="J138" i="7"/>
  <c r="F138" i="7"/>
  <c r="E138" i="7"/>
  <c r="G138" i="7" s="1"/>
  <c r="L137" i="7"/>
  <c r="J137" i="7"/>
  <c r="G137" i="7"/>
  <c r="F137" i="7"/>
  <c r="L136" i="7"/>
  <c r="J136" i="7"/>
  <c r="F136" i="7"/>
  <c r="E136" i="7"/>
  <c r="G136" i="7" s="1"/>
  <c r="L135" i="7"/>
  <c r="J135" i="7"/>
  <c r="G135" i="7"/>
  <c r="F135" i="7"/>
  <c r="L134" i="7"/>
  <c r="I134" i="7"/>
  <c r="H134" i="7"/>
  <c r="J134" i="7" s="1"/>
  <c r="G134" i="7"/>
  <c r="F134" i="7"/>
  <c r="L133" i="7"/>
  <c r="L132" i="7" s="1"/>
  <c r="AO147" i="7" s="1"/>
  <c r="G133" i="7"/>
  <c r="L131" i="7"/>
  <c r="J131" i="7"/>
  <c r="G131" i="7"/>
  <c r="F131" i="7"/>
  <c r="L130" i="7"/>
  <c r="AR147" i="7" s="1"/>
  <c r="L144" i="7" s="1"/>
  <c r="G130" i="7"/>
  <c r="C129" i="7"/>
  <c r="C128" i="7"/>
  <c r="B128" i="7"/>
  <c r="G127" i="7"/>
  <c r="E127" i="7"/>
  <c r="D127" i="7"/>
  <c r="BA126" i="7"/>
  <c r="AZ126" i="7"/>
  <c r="AE126" i="7"/>
  <c r="AD126" i="7"/>
  <c r="G125" i="7"/>
  <c r="E125" i="7"/>
  <c r="G124" i="7"/>
  <c r="E124" i="7"/>
  <c r="BA122" i="7"/>
  <c r="AZ122" i="7"/>
  <c r="AW122" i="7"/>
  <c r="AN122" i="7"/>
  <c r="AE122" i="7"/>
  <c r="AD122" i="7"/>
  <c r="L122" i="7"/>
  <c r="I122" i="7"/>
  <c r="H122" i="7"/>
  <c r="J122" i="7" s="1"/>
  <c r="G122" i="7"/>
  <c r="E122" i="7"/>
  <c r="D122" i="7"/>
  <c r="C122" i="7"/>
  <c r="B122" i="7"/>
  <c r="AE121" i="7"/>
  <c r="AD121" i="7"/>
  <c r="L121" i="7"/>
  <c r="I121" i="7"/>
  <c r="H121" i="7"/>
  <c r="J121" i="7" s="1"/>
  <c r="G121" i="7"/>
  <c r="E121" i="7"/>
  <c r="D121" i="7"/>
  <c r="C121" i="7"/>
  <c r="B121" i="7"/>
  <c r="G119" i="7"/>
  <c r="E119" i="7"/>
  <c r="D119" i="7"/>
  <c r="C119" i="7"/>
  <c r="B119" i="7"/>
  <c r="G118" i="7"/>
  <c r="E118" i="7"/>
  <c r="D118" i="7"/>
  <c r="C118" i="7"/>
  <c r="B118" i="7"/>
  <c r="G117" i="7"/>
  <c r="E117" i="7"/>
  <c r="D117" i="7"/>
  <c r="C117" i="7"/>
  <c r="B117" i="7"/>
  <c r="L116" i="7"/>
  <c r="J116" i="7"/>
  <c r="I116" i="7"/>
  <c r="H116" i="7"/>
  <c r="G116" i="7"/>
  <c r="L115" i="7"/>
  <c r="I115" i="7"/>
  <c r="H115" i="7"/>
  <c r="J115" i="7" s="1"/>
  <c r="G115" i="7"/>
  <c r="L114" i="7"/>
  <c r="J114" i="7"/>
  <c r="I114" i="7"/>
  <c r="H114" i="7"/>
  <c r="G114" i="7"/>
  <c r="L113" i="7"/>
  <c r="L112" i="7" s="1"/>
  <c r="AW126" i="7" s="1"/>
  <c r="I113" i="7"/>
  <c r="H113" i="7"/>
  <c r="J113" i="7" s="1"/>
  <c r="G113" i="7"/>
  <c r="L111" i="7"/>
  <c r="J111" i="7"/>
  <c r="G111" i="7"/>
  <c r="L110" i="7"/>
  <c r="J110" i="7"/>
  <c r="I110" i="7"/>
  <c r="H110" i="7"/>
  <c r="G110" i="7"/>
  <c r="L109" i="7"/>
  <c r="J109" i="7"/>
  <c r="G109" i="7"/>
  <c r="E109" i="7"/>
  <c r="L108" i="7"/>
  <c r="J108" i="7"/>
  <c r="G108" i="7"/>
  <c r="L107" i="7"/>
  <c r="J107" i="7"/>
  <c r="E107" i="7"/>
  <c r="G107" i="7" s="1"/>
  <c r="L106" i="7"/>
  <c r="J106" i="7"/>
  <c r="I106" i="7"/>
  <c r="H106" i="7"/>
  <c r="G106" i="7"/>
  <c r="L105" i="7"/>
  <c r="AT126" i="7" s="1"/>
  <c r="G105" i="7"/>
  <c r="L104" i="7"/>
  <c r="AO126" i="7" s="1"/>
  <c r="L103" i="7"/>
  <c r="L102" i="7" s="1"/>
  <c r="J103" i="7"/>
  <c r="G103" i="7"/>
  <c r="G102" i="7"/>
  <c r="C101" i="7"/>
  <c r="G100" i="7"/>
  <c r="E100" i="7"/>
  <c r="D100" i="7"/>
  <c r="C100" i="7"/>
  <c r="AW99" i="7"/>
  <c r="AE99" i="7"/>
  <c r="AD99" i="7"/>
  <c r="L98" i="7"/>
  <c r="G98" i="7"/>
  <c r="E98" i="7"/>
  <c r="G97" i="7"/>
  <c r="E97" i="7"/>
  <c r="BA95" i="7"/>
  <c r="AZ95" i="7"/>
  <c r="AW95" i="7"/>
  <c r="AN95" i="7"/>
  <c r="AE95" i="7"/>
  <c r="AD95" i="7"/>
  <c r="L95" i="7"/>
  <c r="H95" i="7"/>
  <c r="G95" i="7"/>
  <c r="E95" i="7"/>
  <c r="D95" i="7"/>
  <c r="C95" i="7"/>
  <c r="B95" i="7"/>
  <c r="BA94" i="7"/>
  <c r="AE94" i="7"/>
  <c r="AD94" i="7"/>
  <c r="L94" i="7"/>
  <c r="AW94" i="7" s="1"/>
  <c r="I94" i="7"/>
  <c r="H94" i="7"/>
  <c r="J94" i="7" s="1"/>
  <c r="G94" i="7"/>
  <c r="E94" i="7"/>
  <c r="D94" i="7"/>
  <c r="C94" i="7"/>
  <c r="B94" i="7"/>
  <c r="G92" i="7"/>
  <c r="E92" i="7"/>
  <c r="D92" i="7"/>
  <c r="C92" i="7"/>
  <c r="B92" i="7"/>
  <c r="L91" i="7"/>
  <c r="J91" i="7"/>
  <c r="I91" i="7"/>
  <c r="H91" i="7"/>
  <c r="G91" i="7"/>
  <c r="L90" i="7"/>
  <c r="I90" i="7"/>
  <c r="H90" i="7"/>
  <c r="J90" i="7" s="1"/>
  <c r="G90" i="7"/>
  <c r="L89" i="7"/>
  <c r="L88" i="7"/>
  <c r="L86" i="7" s="1"/>
  <c r="J88" i="7"/>
  <c r="E88" i="7"/>
  <c r="L87" i="7"/>
  <c r="J87" i="7"/>
  <c r="G87" i="7"/>
  <c r="G86" i="7"/>
  <c r="L84" i="7"/>
  <c r="L83" i="7" s="1"/>
  <c r="J84" i="7"/>
  <c r="G84" i="7"/>
  <c r="G83" i="7"/>
  <c r="C82" i="7"/>
  <c r="G81" i="7"/>
  <c r="G88" i="7" s="1"/>
  <c r="E81" i="7"/>
  <c r="D81" i="7"/>
  <c r="C81" i="7"/>
  <c r="BA80" i="7"/>
  <c r="AZ80" i="7"/>
  <c r="AW80" i="7"/>
  <c r="AT80" i="7"/>
  <c r="AR80" i="7"/>
  <c r="AO80" i="7"/>
  <c r="AE80" i="7"/>
  <c r="AD80" i="7"/>
  <c r="L79" i="7"/>
  <c r="AN80" i="7" s="1"/>
  <c r="J79" i="7"/>
  <c r="I79" i="7"/>
  <c r="H79" i="7"/>
  <c r="G79" i="7"/>
  <c r="E79" i="7"/>
  <c r="D79" i="7"/>
  <c r="C79" i="7"/>
  <c r="B79" i="7"/>
  <c r="AW78" i="7"/>
  <c r="AE78" i="7"/>
  <c r="AD78" i="7"/>
  <c r="G77" i="7"/>
  <c r="E77" i="7"/>
  <c r="G76" i="7"/>
  <c r="E76" i="7"/>
  <c r="L73" i="7"/>
  <c r="I73" i="7"/>
  <c r="H73" i="7"/>
  <c r="J73" i="7" s="1"/>
  <c r="G73" i="7"/>
  <c r="L72" i="7"/>
  <c r="L71" i="7"/>
  <c r="J71" i="7"/>
  <c r="E71" i="7"/>
  <c r="G71" i="7" s="1"/>
  <c r="L70" i="7"/>
  <c r="J70" i="7"/>
  <c r="G70" i="7"/>
  <c r="L69" i="7"/>
  <c r="L67" i="7" s="1"/>
  <c r="J69" i="7"/>
  <c r="E69" i="7"/>
  <c r="G69" i="7" s="1"/>
  <c r="L68" i="7"/>
  <c r="J68" i="7"/>
  <c r="I68" i="7"/>
  <c r="H68" i="7"/>
  <c r="G68" i="7"/>
  <c r="G67" i="7"/>
  <c r="L65" i="7"/>
  <c r="J65" i="7"/>
  <c r="G65" i="7"/>
  <c r="L64" i="7"/>
  <c r="AR78" i="7" s="1"/>
  <c r="G64" i="7"/>
  <c r="C63" i="7"/>
  <c r="G62" i="7"/>
  <c r="E62" i="7"/>
  <c r="D62" i="7"/>
  <c r="C62" i="7"/>
  <c r="C51" i="7"/>
  <c r="CN35" i="7"/>
  <c r="A35" i="7"/>
  <c r="CN30" i="7"/>
  <c r="A30" i="7"/>
  <c r="F24" i="7"/>
  <c r="F22" i="7"/>
  <c r="CO14" i="7"/>
  <c r="F14" i="7"/>
  <c r="CO12" i="7"/>
  <c r="F12" i="7"/>
  <c r="H6" i="7"/>
  <c r="B6" i="7"/>
  <c r="A1" i="7"/>
  <c r="L426" i="7" l="1"/>
  <c r="CD42" i="1"/>
  <c r="CP30" i="1"/>
  <c r="O30" i="1" s="1"/>
  <c r="AB33" i="1"/>
  <c r="CZ36" i="1"/>
  <c r="Y36" i="1" s="1"/>
  <c r="BA147" i="7" s="1"/>
  <c r="L146" i="7" s="1"/>
  <c r="AB37" i="1"/>
  <c r="CP39" i="1"/>
  <c r="O39" i="1" s="1"/>
  <c r="CY76" i="1"/>
  <c r="X76" i="1" s="1"/>
  <c r="AZ252" i="7" s="1"/>
  <c r="AB76" i="1"/>
  <c r="CY81" i="1"/>
  <c r="X81" i="1" s="1"/>
  <c r="AZ304" i="7" s="1"/>
  <c r="CY88" i="1"/>
  <c r="X88" i="1" s="1"/>
  <c r="AZ365" i="7" s="1"/>
  <c r="AB88" i="1"/>
  <c r="CZ88" i="1"/>
  <c r="Y88" i="1" s="1"/>
  <c r="BA365" i="7" s="1"/>
  <c r="AB127" i="1"/>
  <c r="AB132" i="1"/>
  <c r="CY134" i="1"/>
  <c r="X134" i="1" s="1"/>
  <c r="AZ491" i="7" s="1"/>
  <c r="CP173" i="1"/>
  <c r="O173" i="1" s="1"/>
  <c r="CP36" i="1"/>
  <c r="O36" i="1" s="1"/>
  <c r="CP85" i="1"/>
  <c r="O85" i="1" s="1"/>
  <c r="AB28" i="1"/>
  <c r="CC42" i="1"/>
  <c r="CY36" i="1"/>
  <c r="X36" i="1" s="1"/>
  <c r="AZ147" i="7" s="1"/>
  <c r="L145" i="7" s="1"/>
  <c r="AN147" i="7" s="1"/>
  <c r="CP37" i="1"/>
  <c r="O37" i="1" s="1"/>
  <c r="CY39" i="1"/>
  <c r="X39" i="1" s="1"/>
  <c r="AZ190" i="7" s="1"/>
  <c r="AB39" i="1"/>
  <c r="CD93" i="1"/>
  <c r="CZ132" i="1"/>
  <c r="Y132" i="1" s="1"/>
  <c r="BA469" i="7" s="1"/>
  <c r="AB134" i="1"/>
  <c r="L598" i="7"/>
  <c r="L173" i="7"/>
  <c r="AO190" i="7" s="1"/>
  <c r="AT190" i="7"/>
  <c r="L229" i="7"/>
  <c r="AO252" i="7" s="1"/>
  <c r="AT252" i="7"/>
  <c r="AR469" i="7"/>
  <c r="L464" i="7"/>
  <c r="L474" i="7"/>
  <c r="AO491" i="7" s="1"/>
  <c r="AT491" i="7"/>
  <c r="L680" i="7"/>
  <c r="AT304" i="7"/>
  <c r="L271" i="7"/>
  <c r="AO304" i="7" s="1"/>
  <c r="L310" i="7"/>
  <c r="AO321" i="7" s="1"/>
  <c r="AT321" i="7"/>
  <c r="AR448" i="7"/>
  <c r="L445" i="7" s="1"/>
  <c r="L433" i="7"/>
  <c r="AO448" i="7" s="1"/>
  <c r="AT448" i="7"/>
  <c r="AT469" i="7"/>
  <c r="L454" i="7"/>
  <c r="AO469" i="7" s="1"/>
  <c r="L317" i="7"/>
  <c r="L404" i="7"/>
  <c r="AO427" i="7" s="1"/>
  <c r="L517" i="7" s="1"/>
  <c r="AT427" i="7"/>
  <c r="L488" i="7"/>
  <c r="AT78" i="7"/>
  <c r="L75" i="7" s="1"/>
  <c r="L66" i="7"/>
  <c r="AO78" i="7" s="1"/>
  <c r="L163" i="7"/>
  <c r="L245" i="7"/>
  <c r="L369" i="7"/>
  <c r="AR304" i="7"/>
  <c r="L298" i="7"/>
  <c r="L85" i="7"/>
  <c r="AO99" i="7" s="1"/>
  <c r="AT99" i="7"/>
  <c r="AR126" i="7"/>
  <c r="L123" i="7" s="1"/>
  <c r="L120" i="7"/>
  <c r="L358" i="7"/>
  <c r="AR508" i="7"/>
  <c r="L505" i="7" s="1"/>
  <c r="L504" i="7"/>
  <c r="AR554" i="7"/>
  <c r="L550" i="7"/>
  <c r="AR99" i="7"/>
  <c r="L206" i="7" s="1"/>
  <c r="L93" i="7"/>
  <c r="AR265" i="7"/>
  <c r="L262" i="7" s="1"/>
  <c r="L261" i="7"/>
  <c r="G232" i="7"/>
  <c r="L257" i="7"/>
  <c r="AO265" i="7" s="1"/>
  <c r="L339" i="7"/>
  <c r="K556" i="7"/>
  <c r="I556" i="7" s="1"/>
  <c r="AR321" i="7"/>
  <c r="L573" i="7"/>
  <c r="AN510" i="7"/>
  <c r="BB558" i="7"/>
  <c r="AT168" i="7"/>
  <c r="L165" i="7" s="1"/>
  <c r="AW359" i="7"/>
  <c r="L143" i="7"/>
  <c r="AN340" i="7"/>
  <c r="L363" i="7"/>
  <c r="L381" i="7"/>
  <c r="AR427" i="7"/>
  <c r="K80" i="7"/>
  <c r="I80" i="7" s="1"/>
  <c r="AR190" i="7"/>
  <c r="L187" i="7" s="1"/>
  <c r="AN94" i="7"/>
  <c r="AN423" i="7"/>
  <c r="AN361" i="7"/>
  <c r="L364" i="7"/>
  <c r="K365" i="7" s="1"/>
  <c r="I365" i="7" s="1"/>
  <c r="G409" i="7"/>
  <c r="AW510" i="7"/>
  <c r="L609" i="7"/>
  <c r="CC26" i="1"/>
  <c r="AT42" i="1"/>
  <c r="CZ40" i="1"/>
  <c r="Y40" i="1" s="1"/>
  <c r="BA186" i="7" s="1"/>
  <c r="L189" i="7" s="1"/>
  <c r="CY40" i="1"/>
  <c r="X40" i="1" s="1"/>
  <c r="AZ186" i="7" s="1"/>
  <c r="L188" i="7" s="1"/>
  <c r="L647" i="7"/>
  <c r="CD26" i="1"/>
  <c r="AU42" i="1"/>
  <c r="L250" i="7"/>
  <c r="AG26" i="1"/>
  <c r="T42" i="1"/>
  <c r="L601" i="7"/>
  <c r="GM39" i="1"/>
  <c r="GN39" i="1" s="1"/>
  <c r="AJ42" i="1"/>
  <c r="AW121" i="7"/>
  <c r="AN121" i="7"/>
  <c r="K147" i="7"/>
  <c r="I147" i="7" s="1"/>
  <c r="AN186" i="7"/>
  <c r="AQ42" i="1"/>
  <c r="CG42" i="1"/>
  <c r="BZ26" i="1"/>
  <c r="CI42" i="1"/>
  <c r="CJ42" i="1"/>
  <c r="V31" i="1"/>
  <c r="AI42" i="1" s="1"/>
  <c r="S34" i="1"/>
  <c r="CZ37" i="1"/>
  <c r="Y37" i="1" s="1"/>
  <c r="BA168" i="7" s="1"/>
  <c r="U38" i="1"/>
  <c r="AH42" i="1" s="1"/>
  <c r="GX40" i="1"/>
  <c r="AB80" i="1"/>
  <c r="AU139" i="1"/>
  <c r="CD125" i="1"/>
  <c r="S177" i="1"/>
  <c r="AF171" i="1"/>
  <c r="T177" i="1"/>
  <c r="AG171" i="1"/>
  <c r="V38" i="1"/>
  <c r="AQ93" i="1"/>
  <c r="CG93" i="1"/>
  <c r="CI93" i="1"/>
  <c r="CZ80" i="1"/>
  <c r="Y80" i="1" s="1"/>
  <c r="BA265" i="7" s="1"/>
  <c r="L264" i="7" s="1"/>
  <c r="CY80" i="1"/>
  <c r="X80" i="1" s="1"/>
  <c r="AZ265" i="7" s="1"/>
  <c r="L263" i="7" s="1"/>
  <c r="GX82" i="1"/>
  <c r="S82" i="1"/>
  <c r="R82" i="1"/>
  <c r="Q82" i="1"/>
  <c r="U82" i="1"/>
  <c r="AH93" i="1" s="1"/>
  <c r="CZ84" i="1"/>
  <c r="Y84" i="1" s="1"/>
  <c r="BA321" i="7" s="1"/>
  <c r="L320" i="7" s="1"/>
  <c r="CY84" i="1"/>
  <c r="X84" i="1" s="1"/>
  <c r="AZ321" i="7" s="1"/>
  <c r="L319" i="7" s="1"/>
  <c r="U177" i="1"/>
  <c r="AH171" i="1"/>
  <c r="U34" i="1"/>
  <c r="V40" i="1"/>
  <c r="P82" i="1"/>
  <c r="T82" i="1"/>
  <c r="AG93" i="1" s="1"/>
  <c r="GM88" i="1"/>
  <c r="GN88" i="1" s="1"/>
  <c r="BA139" i="1"/>
  <c r="CJ125" i="1"/>
  <c r="V177" i="1"/>
  <c r="AI171" i="1"/>
  <c r="CP28" i="1"/>
  <c r="O28" i="1" s="1"/>
  <c r="V34" i="1"/>
  <c r="P38" i="1"/>
  <c r="AB81" i="1"/>
  <c r="V82" i="1"/>
  <c r="AI93" i="1" s="1"/>
  <c r="AG139" i="1"/>
  <c r="CZ133" i="1"/>
  <c r="Y133" i="1" s="1"/>
  <c r="BA465" i="7" s="1"/>
  <c r="CY133" i="1"/>
  <c r="X133" i="1" s="1"/>
  <c r="AZ465" i="7" s="1"/>
  <c r="AJ171" i="1"/>
  <c r="W177" i="1"/>
  <c r="CG177" i="1"/>
  <c r="BZ171" i="1"/>
  <c r="CI177" i="1"/>
  <c r="AQ177" i="1"/>
  <c r="L197" i="7"/>
  <c r="CY28" i="1"/>
  <c r="X28" i="1" s="1"/>
  <c r="Q38" i="1"/>
  <c r="AD42" i="1" s="1"/>
  <c r="AC93" i="1"/>
  <c r="CP84" i="1"/>
  <c r="O84" i="1" s="1"/>
  <c r="AB136" i="1"/>
  <c r="AT177" i="1"/>
  <c r="CC171" i="1"/>
  <c r="CZ28" i="1"/>
  <c r="Y28" i="1" s="1"/>
  <c r="CP31" i="1"/>
  <c r="O31" i="1" s="1"/>
  <c r="GM31" i="1" s="1"/>
  <c r="GN31" i="1" s="1"/>
  <c r="R38" i="1"/>
  <c r="AE42" i="1" s="1"/>
  <c r="W82" i="1"/>
  <c r="AJ93" i="1" s="1"/>
  <c r="AB84" i="1"/>
  <c r="AF139" i="1"/>
  <c r="AB177" i="1"/>
  <c r="AU177" i="1"/>
  <c r="CD171" i="1"/>
  <c r="CY30" i="1"/>
  <c r="X30" i="1" s="1"/>
  <c r="AZ99" i="7" s="1"/>
  <c r="L97" i="7" s="1"/>
  <c r="S38" i="1"/>
  <c r="AE93" i="1"/>
  <c r="AJ125" i="1"/>
  <c r="W139" i="1"/>
  <c r="CG139" i="1"/>
  <c r="BZ125" i="1"/>
  <c r="CI139" i="1"/>
  <c r="AQ139" i="1"/>
  <c r="GM134" i="1"/>
  <c r="GN134" i="1" s="1"/>
  <c r="AD171" i="1"/>
  <c r="Q177" i="1"/>
  <c r="AF93" i="1"/>
  <c r="CZ76" i="1"/>
  <c r="Y76" i="1" s="1"/>
  <c r="CP76" i="1"/>
  <c r="O76" i="1" s="1"/>
  <c r="AT139" i="1"/>
  <c r="CC125" i="1"/>
  <c r="R177" i="1"/>
  <c r="AE171" i="1"/>
  <c r="CZ81" i="1"/>
  <c r="Y81" i="1" s="1"/>
  <c r="BA304" i="7" s="1"/>
  <c r="CY127" i="1"/>
  <c r="X127" i="1" s="1"/>
  <c r="V133" i="1"/>
  <c r="AI139" i="1" s="1"/>
  <c r="CZ134" i="1"/>
  <c r="Y134" i="1" s="1"/>
  <c r="BA491" i="7" s="1"/>
  <c r="U135" i="1"/>
  <c r="AH139" i="1" s="1"/>
  <c r="CZ173" i="1"/>
  <c r="Y173" i="1" s="1"/>
  <c r="V135" i="1"/>
  <c r="CP136" i="1"/>
  <c r="O136" i="1" s="1"/>
  <c r="Q86" i="1"/>
  <c r="AD93" i="1" s="1"/>
  <c r="V89" i="1"/>
  <c r="P133" i="1"/>
  <c r="CY136" i="1"/>
  <c r="X136" i="1" s="1"/>
  <c r="AZ508" i="7" s="1"/>
  <c r="L506" i="7" s="1"/>
  <c r="CY131" i="1"/>
  <c r="X131" i="1" s="1"/>
  <c r="AZ448" i="7" s="1"/>
  <c r="L446" i="7" s="1"/>
  <c r="S86" i="1"/>
  <c r="Q135" i="1"/>
  <c r="CP135" i="1" s="1"/>
  <c r="O135" i="1" s="1"/>
  <c r="AC177" i="1"/>
  <c r="CY85" i="1"/>
  <c r="X85" i="1" s="1"/>
  <c r="AZ345" i="7" s="1"/>
  <c r="GX86" i="1"/>
  <c r="R135" i="1"/>
  <c r="AE139" i="1" s="1"/>
  <c r="U86" i="1"/>
  <c r="CY132" i="1"/>
  <c r="X132" i="1" s="1"/>
  <c r="AZ469" i="7" s="1"/>
  <c r="S135" i="1"/>
  <c r="CY173" i="1"/>
  <c r="X173" i="1" s="1"/>
  <c r="AU93" i="1" l="1"/>
  <c r="CD74" i="1"/>
  <c r="GM36" i="1"/>
  <c r="GN36" i="1" s="1"/>
  <c r="GM85" i="1"/>
  <c r="GN85" i="1" s="1"/>
  <c r="L551" i="7"/>
  <c r="L562" i="7"/>
  <c r="L560" i="7" s="1"/>
  <c r="L574" i="7"/>
  <c r="L301" i="7"/>
  <c r="L519" i="7"/>
  <c r="L515" i="7" s="1"/>
  <c r="L444" i="7"/>
  <c r="L194" i="7"/>
  <c r="L669" i="7"/>
  <c r="L318" i="7"/>
  <c r="L486" i="7"/>
  <c r="L466" i="7"/>
  <c r="L195" i="7"/>
  <c r="AN365" i="7"/>
  <c r="L96" i="7"/>
  <c r="L249" i="7"/>
  <c r="L374" i="7"/>
  <c r="L672" i="7"/>
  <c r="L420" i="7"/>
  <c r="L372" i="7"/>
  <c r="L370" i="7" s="1"/>
  <c r="K47" i="7"/>
  <c r="L74" i="7"/>
  <c r="L674" i="7"/>
  <c r="L603" i="7"/>
  <c r="L599" i="7" s="1"/>
  <c r="L199" i="7"/>
  <c r="K48" i="7"/>
  <c r="L185" i="7"/>
  <c r="L610" i="7"/>
  <c r="L467" i="7"/>
  <c r="L526" i="7"/>
  <c r="L514" i="7"/>
  <c r="L424" i="7"/>
  <c r="L681" i="7"/>
  <c r="U93" i="1"/>
  <c r="AH74" i="1"/>
  <c r="AD26" i="1"/>
  <c r="Q42" i="1"/>
  <c r="T93" i="1"/>
  <c r="AG74" i="1"/>
  <c r="AH26" i="1"/>
  <c r="U42" i="1"/>
  <c r="U139" i="1"/>
  <c r="AH125" i="1"/>
  <c r="W93" i="1"/>
  <c r="AJ74" i="1"/>
  <c r="AE125" i="1"/>
  <c r="R139" i="1"/>
  <c r="V139" i="1"/>
  <c r="AI125" i="1"/>
  <c r="V93" i="1"/>
  <c r="AI74" i="1"/>
  <c r="AI26" i="1"/>
  <c r="V42" i="1"/>
  <c r="AE26" i="1"/>
  <c r="R42" i="1"/>
  <c r="Q93" i="1"/>
  <c r="AD74" i="1"/>
  <c r="AZ177" i="1"/>
  <c r="CI171" i="1"/>
  <c r="T139" i="1"/>
  <c r="AG125" i="1"/>
  <c r="V171" i="1"/>
  <c r="F200" i="1"/>
  <c r="G589" i="7" s="1"/>
  <c r="CP86" i="1"/>
  <c r="O86" i="1" s="1"/>
  <c r="K321" i="7"/>
  <c r="I321" i="7" s="1"/>
  <c r="AN321" i="7"/>
  <c r="CZ34" i="1"/>
  <c r="Y34" i="1" s="1"/>
  <c r="BA121" i="7" s="1"/>
  <c r="L125" i="7" s="1"/>
  <c r="CY34" i="1"/>
  <c r="X34" i="1" s="1"/>
  <c r="AZ121" i="7" s="1"/>
  <c r="L124" i="7" s="1"/>
  <c r="AQ207" i="1"/>
  <c r="AQ26" i="1"/>
  <c r="F52" i="1"/>
  <c r="S139" i="1"/>
  <c r="AF125" i="1"/>
  <c r="CI125" i="1"/>
  <c r="AZ139" i="1"/>
  <c r="AZ427" i="7"/>
  <c r="GM76" i="1"/>
  <c r="GM84" i="1"/>
  <c r="GN84" i="1" s="1"/>
  <c r="AD139" i="1"/>
  <c r="AZ93" i="1"/>
  <c r="CI74" i="1"/>
  <c r="S171" i="1"/>
  <c r="F192" i="1"/>
  <c r="L645" i="7"/>
  <c r="L639" i="7"/>
  <c r="L688" i="7" s="1"/>
  <c r="R93" i="1"/>
  <c r="AE74" i="1"/>
  <c r="CP133" i="1"/>
  <c r="O133" i="1" s="1"/>
  <c r="L465" i="7"/>
  <c r="CF177" i="1"/>
  <c r="AC171" i="1"/>
  <c r="CE177" i="1"/>
  <c r="P177" i="1"/>
  <c r="CH177" i="1"/>
  <c r="BA252" i="7"/>
  <c r="AX139" i="1"/>
  <c r="CG125" i="1"/>
  <c r="F196" i="1"/>
  <c r="AU171" i="1"/>
  <c r="GM81" i="1"/>
  <c r="GN81" i="1" s="1"/>
  <c r="AX177" i="1"/>
  <c r="CG171" i="1"/>
  <c r="BA125" i="1"/>
  <c r="F159" i="1"/>
  <c r="CP82" i="1"/>
  <c r="O82" i="1" s="1"/>
  <c r="L299" i="7"/>
  <c r="AX93" i="1"/>
  <c r="CG74" i="1"/>
  <c r="GM37" i="1"/>
  <c r="GN37" i="1" s="1"/>
  <c r="AT171" i="1"/>
  <c r="F195" i="1"/>
  <c r="AK177" i="1"/>
  <c r="AZ554" i="7"/>
  <c r="S93" i="1"/>
  <c r="AF74" i="1"/>
  <c r="W125" i="1"/>
  <c r="F163" i="1"/>
  <c r="GM173" i="1"/>
  <c r="CH93" i="1"/>
  <c r="CF93" i="1"/>
  <c r="CE93" i="1"/>
  <c r="P93" i="1"/>
  <c r="AC74" i="1"/>
  <c r="F201" i="1"/>
  <c r="W171" i="1"/>
  <c r="GM132" i="1"/>
  <c r="GN132" i="1" s="1"/>
  <c r="F103" i="1"/>
  <c r="AQ74" i="1"/>
  <c r="F158" i="1"/>
  <c r="AU125" i="1"/>
  <c r="CP34" i="1"/>
  <c r="O34" i="1" s="1"/>
  <c r="GM34" i="1" s="1"/>
  <c r="GN34" i="1" s="1"/>
  <c r="GM30" i="1"/>
  <c r="GN30" i="1" s="1"/>
  <c r="T207" i="1"/>
  <c r="F63" i="1"/>
  <c r="T26" i="1"/>
  <c r="AN190" i="7"/>
  <c r="K190" i="7"/>
  <c r="I190" i="7" s="1"/>
  <c r="K99" i="7"/>
  <c r="I99" i="7" s="1"/>
  <c r="AN99" i="7"/>
  <c r="AC139" i="1"/>
  <c r="CY135" i="1"/>
  <c r="X135" i="1" s="1"/>
  <c r="AZ487" i="7" s="1"/>
  <c r="L489" i="7" s="1"/>
  <c r="CZ135" i="1"/>
  <c r="Y135" i="1" s="1"/>
  <c r="BA487" i="7" s="1"/>
  <c r="L490" i="7" s="1"/>
  <c r="R171" i="1"/>
  <c r="F191" i="1"/>
  <c r="Q171" i="1"/>
  <c r="F189" i="1"/>
  <c r="AB171" i="1"/>
  <c r="O177" i="1"/>
  <c r="BA78" i="7"/>
  <c r="CP38" i="1"/>
  <c r="O38" i="1" s="1"/>
  <c r="L164" i="7"/>
  <c r="GM131" i="1"/>
  <c r="GN131" i="1" s="1"/>
  <c r="CJ26" i="1"/>
  <c r="BA42" i="1"/>
  <c r="AF42" i="1"/>
  <c r="GM80" i="1"/>
  <c r="GN80" i="1" s="1"/>
  <c r="GM136" i="1"/>
  <c r="GN136" i="1" s="1"/>
  <c r="CZ86" i="1"/>
  <c r="Y86" i="1" s="1"/>
  <c r="BA340" i="7" s="1"/>
  <c r="L344" i="7" s="1"/>
  <c r="CY86" i="1"/>
  <c r="X86" i="1" s="1"/>
  <c r="AZ340" i="7" s="1"/>
  <c r="L343" i="7" s="1"/>
  <c r="AL177" i="1"/>
  <c r="BA554" i="7"/>
  <c r="AL139" i="1"/>
  <c r="AZ78" i="7"/>
  <c r="GM127" i="1"/>
  <c r="CY82" i="1"/>
  <c r="X82" i="1" s="1"/>
  <c r="AZ299" i="7" s="1"/>
  <c r="L302" i="7" s="1"/>
  <c r="CZ82" i="1"/>
  <c r="Y82" i="1" s="1"/>
  <c r="BA299" i="7" s="1"/>
  <c r="L303" i="7" s="1"/>
  <c r="CI26" i="1"/>
  <c r="AZ42" i="1"/>
  <c r="AC42" i="1"/>
  <c r="AT207" i="1"/>
  <c r="F60" i="1"/>
  <c r="AT26" i="1"/>
  <c r="AN448" i="7"/>
  <c r="K448" i="7"/>
  <c r="I448" i="7" s="1"/>
  <c r="F157" i="1"/>
  <c r="AT125" i="1"/>
  <c r="GM28" i="1"/>
  <c r="AB42" i="1"/>
  <c r="CJ93" i="1"/>
  <c r="GM40" i="1"/>
  <c r="GN40" i="1" s="1"/>
  <c r="AN508" i="7"/>
  <c r="K508" i="7"/>
  <c r="I508" i="7" s="1"/>
  <c r="F149" i="1"/>
  <c r="AQ125" i="1"/>
  <c r="CY38" i="1"/>
  <c r="X38" i="1" s="1"/>
  <c r="AZ164" i="7" s="1"/>
  <c r="L166" i="7" s="1"/>
  <c r="CZ38" i="1"/>
  <c r="Y38" i="1" s="1"/>
  <c r="BA164" i="7" s="1"/>
  <c r="L167" i="7" s="1"/>
  <c r="F187" i="1"/>
  <c r="AQ171" i="1"/>
  <c r="L468" i="7"/>
  <c r="K469" i="7" s="1"/>
  <c r="I469" i="7" s="1"/>
  <c r="L528" i="7"/>
  <c r="U171" i="1"/>
  <c r="F199" i="1"/>
  <c r="G588" i="7" s="1"/>
  <c r="AN265" i="7"/>
  <c r="K265" i="7"/>
  <c r="I265" i="7" s="1"/>
  <c r="T171" i="1"/>
  <c r="F198" i="1"/>
  <c r="AX42" i="1"/>
  <c r="CG26" i="1"/>
  <c r="W42" i="1"/>
  <c r="AJ26" i="1"/>
  <c r="AU207" i="1"/>
  <c r="F61" i="1"/>
  <c r="AU26" i="1"/>
  <c r="F112" i="1" l="1"/>
  <c r="AU74" i="1"/>
  <c r="L670" i="7"/>
  <c r="O42" i="1"/>
  <c r="AB26" i="1"/>
  <c r="AT237" i="1"/>
  <c r="F225" i="1"/>
  <c r="AT22" i="1"/>
  <c r="L611" i="7"/>
  <c r="L207" i="7"/>
  <c r="L682" i="7"/>
  <c r="L76" i="7"/>
  <c r="AN469" i="7"/>
  <c r="L683" i="7"/>
  <c r="L612" i="7"/>
  <c r="L77" i="7"/>
  <c r="L208" i="7"/>
  <c r="GN173" i="1"/>
  <c r="CB177" i="1" s="1"/>
  <c r="CA177" i="1"/>
  <c r="L383" i="7"/>
  <c r="L251" i="7"/>
  <c r="GM133" i="1"/>
  <c r="GN133" i="1" s="1"/>
  <c r="AB139" i="1"/>
  <c r="L425" i="7"/>
  <c r="L527" i="7"/>
  <c r="R207" i="1"/>
  <c r="R26" i="1"/>
  <c r="F56" i="1"/>
  <c r="F153" i="1"/>
  <c r="R125" i="1"/>
  <c r="CH42" i="1"/>
  <c r="CF42" i="1"/>
  <c r="CE42" i="1"/>
  <c r="AC26" i="1"/>
  <c r="P42" i="1"/>
  <c r="AL125" i="1"/>
  <c r="Y139" i="1"/>
  <c r="AL42" i="1"/>
  <c r="K491" i="7"/>
  <c r="I491" i="7" s="1"/>
  <c r="AN491" i="7"/>
  <c r="T237" i="1"/>
  <c r="F228" i="1"/>
  <c r="T22" i="1"/>
  <c r="AL93" i="1"/>
  <c r="AK139" i="1"/>
  <c r="F114" i="1"/>
  <c r="T74" i="1"/>
  <c r="GN28" i="1"/>
  <c r="CB42" i="1" s="1"/>
  <c r="AZ207" i="1"/>
  <c r="F53" i="1"/>
  <c r="AZ26" i="1"/>
  <c r="L553" i="7"/>
  <c r="L576" i="7"/>
  <c r="AF26" i="1"/>
  <c r="S42" i="1"/>
  <c r="F179" i="1"/>
  <c r="O171" i="1"/>
  <c r="CF139" i="1"/>
  <c r="CE139" i="1"/>
  <c r="AC125" i="1"/>
  <c r="P139" i="1"/>
  <c r="CH139" i="1"/>
  <c r="F184" i="1"/>
  <c r="AX171" i="1"/>
  <c r="CH171" i="1"/>
  <c r="AY177" i="1"/>
  <c r="F107" i="1"/>
  <c r="R74" i="1"/>
  <c r="F150" i="1"/>
  <c r="AZ125" i="1"/>
  <c r="AQ237" i="1"/>
  <c r="F217" i="1"/>
  <c r="AQ22" i="1"/>
  <c r="V207" i="1"/>
  <c r="F65" i="1"/>
  <c r="G221" i="7" s="1"/>
  <c r="V26" i="1"/>
  <c r="F54" i="1"/>
  <c r="Q26" i="1"/>
  <c r="AX207" i="1"/>
  <c r="AX26" i="1"/>
  <c r="F49" i="1"/>
  <c r="AL171" i="1"/>
  <c r="Y177" i="1"/>
  <c r="F62" i="1"/>
  <c r="BA26" i="1"/>
  <c r="F180" i="1"/>
  <c r="P171" i="1"/>
  <c r="F104" i="1"/>
  <c r="AZ74" i="1"/>
  <c r="AN126" i="7"/>
  <c r="K126" i="7"/>
  <c r="I126" i="7" s="1"/>
  <c r="T125" i="1"/>
  <c r="F160" i="1"/>
  <c r="F117" i="1"/>
  <c r="W74" i="1"/>
  <c r="W207" i="1"/>
  <c r="F66" i="1"/>
  <c r="W26" i="1"/>
  <c r="K345" i="7"/>
  <c r="I345" i="7" s="1"/>
  <c r="AN345" i="7"/>
  <c r="F96" i="1"/>
  <c r="P74" i="1"/>
  <c r="F108" i="1"/>
  <c r="S74" i="1"/>
  <c r="F100" i="1"/>
  <c r="AX74" i="1"/>
  <c r="AV177" i="1"/>
  <c r="CE171" i="1"/>
  <c r="AD125" i="1"/>
  <c r="Q139" i="1"/>
  <c r="GM135" i="1"/>
  <c r="GN135" i="1" s="1"/>
  <c r="K304" i="7"/>
  <c r="I304" i="7" s="1"/>
  <c r="AN304" i="7"/>
  <c r="AV93" i="1"/>
  <c r="CE74" i="1"/>
  <c r="L575" i="7"/>
  <c r="L584" i="7" s="1"/>
  <c r="L552" i="7"/>
  <c r="AW299" i="7"/>
  <c r="L378" i="7" s="1"/>
  <c r="L376" i="7" s="1"/>
  <c r="L367" i="7" s="1"/>
  <c r="AN299" i="7"/>
  <c r="L382" i="7"/>
  <c r="F154" i="1"/>
  <c r="S125" i="1"/>
  <c r="F188" i="1"/>
  <c r="AZ171" i="1"/>
  <c r="F116" i="1"/>
  <c r="G396" i="7" s="1"/>
  <c r="V74" i="1"/>
  <c r="U125" i="1"/>
  <c r="F161" i="1"/>
  <c r="G540" i="7" s="1"/>
  <c r="GN127" i="1"/>
  <c r="AN164" i="7"/>
  <c r="AW164" i="7"/>
  <c r="AW93" i="1"/>
  <c r="CF74" i="1"/>
  <c r="AK171" i="1"/>
  <c r="X177" i="1"/>
  <c r="GM82" i="1"/>
  <c r="GN82" i="1" s="1"/>
  <c r="AW177" i="1"/>
  <c r="CF171" i="1"/>
  <c r="CA93" i="1"/>
  <c r="GN76" i="1"/>
  <c r="U207" i="1"/>
  <c r="F64" i="1"/>
  <c r="G220" i="7" s="1"/>
  <c r="U26" i="1"/>
  <c r="AU237" i="1"/>
  <c r="F226" i="1"/>
  <c r="AU22" i="1"/>
  <c r="K168" i="7"/>
  <c r="I168" i="7" s="1"/>
  <c r="AN168" i="7"/>
  <c r="BA93" i="1"/>
  <c r="CJ74" i="1"/>
  <c r="AK42" i="1"/>
  <c r="GM38" i="1"/>
  <c r="GN38" i="1" s="1"/>
  <c r="AY93" i="1"/>
  <c r="CH74" i="1"/>
  <c r="F146" i="1"/>
  <c r="AX125" i="1"/>
  <c r="AW465" i="7"/>
  <c r="L523" i="7" s="1"/>
  <c r="L521" i="7" s="1"/>
  <c r="L512" i="7" s="1"/>
  <c r="AN465" i="7"/>
  <c r="AK93" i="1"/>
  <c r="AB93" i="1"/>
  <c r="GM86" i="1"/>
  <c r="GN86" i="1" s="1"/>
  <c r="F105" i="1"/>
  <c r="Q74" i="1"/>
  <c r="V125" i="1"/>
  <c r="F162" i="1"/>
  <c r="G541" i="7" s="1"/>
  <c r="F115" i="1"/>
  <c r="G395" i="7" s="1"/>
  <c r="U74" i="1"/>
  <c r="L536" i="7" l="1"/>
  <c r="L391" i="7"/>
  <c r="X93" i="1"/>
  <c r="AK74" i="1"/>
  <c r="AK26" i="1"/>
  <c r="X42" i="1"/>
  <c r="F203" i="1"/>
  <c r="X171" i="1"/>
  <c r="F231" i="1"/>
  <c r="W237" i="1"/>
  <c r="W22" i="1"/>
  <c r="F230" i="1"/>
  <c r="V237" i="1"/>
  <c r="V22" i="1"/>
  <c r="F185" i="1"/>
  <c r="AY171" i="1"/>
  <c r="AW139" i="1"/>
  <c r="CF125" i="1"/>
  <c r="P207" i="1"/>
  <c r="F45" i="1"/>
  <c r="P26" i="1"/>
  <c r="AR177" i="1"/>
  <c r="CA171" i="1"/>
  <c r="AZ237" i="1"/>
  <c r="F218" i="1"/>
  <c r="AZ22" i="1"/>
  <c r="Q125" i="1"/>
  <c r="F151" i="1"/>
  <c r="CB26" i="1"/>
  <c r="AS42" i="1"/>
  <c r="F258" i="1"/>
  <c r="T18" i="1"/>
  <c r="CE26" i="1"/>
  <c r="AV42" i="1"/>
  <c r="AS177" i="1"/>
  <c r="CB171" i="1"/>
  <c r="F113" i="1"/>
  <c r="BA74" i="1"/>
  <c r="CB93" i="1"/>
  <c r="F99" i="1"/>
  <c r="AW74" i="1"/>
  <c r="AN554" i="7"/>
  <c r="K554" i="7"/>
  <c r="I554" i="7" s="1"/>
  <c r="F247" i="1"/>
  <c r="AQ18" i="1"/>
  <c r="S207" i="1"/>
  <c r="S26" i="1"/>
  <c r="F57" i="1"/>
  <c r="CA42" i="1"/>
  <c r="AW42" i="1"/>
  <c r="CF26" i="1"/>
  <c r="AN427" i="7"/>
  <c r="K427" i="7"/>
  <c r="I427" i="7" s="1"/>
  <c r="AR93" i="1"/>
  <c r="CA74" i="1"/>
  <c r="CH125" i="1"/>
  <c r="AY139" i="1"/>
  <c r="AY42" i="1"/>
  <c r="CH26" i="1"/>
  <c r="AB125" i="1"/>
  <c r="O139" i="1"/>
  <c r="F16" i="2"/>
  <c r="C50" i="7"/>
  <c r="BA207" i="1"/>
  <c r="Q207" i="1"/>
  <c r="F142" i="1"/>
  <c r="P125" i="1"/>
  <c r="AL26" i="1"/>
  <c r="Y42" i="1"/>
  <c r="F255" i="1"/>
  <c r="AT18" i="1"/>
  <c r="F221" i="1"/>
  <c r="R237" i="1"/>
  <c r="R22" i="1"/>
  <c r="U237" i="1"/>
  <c r="F229" i="1"/>
  <c r="U22" i="1"/>
  <c r="F214" i="1"/>
  <c r="AX237" i="1"/>
  <c r="AX22" i="1"/>
  <c r="L607" i="7"/>
  <c r="L605" i="7" s="1"/>
  <c r="L596" i="7" s="1"/>
  <c r="L594" i="7" s="1"/>
  <c r="L665" i="7" s="1"/>
  <c r="L694" i="7" s="1"/>
  <c r="L678" i="7"/>
  <c r="L676" i="7" s="1"/>
  <c r="L667" i="7" s="1"/>
  <c r="L203" i="7"/>
  <c r="L201" i="7" s="1"/>
  <c r="L192" i="7" s="1"/>
  <c r="L216" i="7" s="1"/>
  <c r="F101" i="1"/>
  <c r="AY74" i="1"/>
  <c r="C52" i="7"/>
  <c r="F183" i="1"/>
  <c r="AW171" i="1"/>
  <c r="CA139" i="1"/>
  <c r="F98" i="1"/>
  <c r="AV74" i="1"/>
  <c r="F204" i="1"/>
  <c r="Y171" i="1"/>
  <c r="AK125" i="1"/>
  <c r="X139" i="1"/>
  <c r="F166" i="1"/>
  <c r="Y125" i="1"/>
  <c r="AN252" i="7"/>
  <c r="K252" i="7"/>
  <c r="I252" i="7" s="1"/>
  <c r="F182" i="1"/>
  <c r="AV171" i="1"/>
  <c r="O93" i="1"/>
  <c r="AB74" i="1"/>
  <c r="F256" i="1"/>
  <c r="AU18" i="1"/>
  <c r="CB139" i="1"/>
  <c r="AV139" i="1"/>
  <c r="CE125" i="1"/>
  <c r="Y93" i="1"/>
  <c r="AL74" i="1"/>
  <c r="K78" i="7"/>
  <c r="I78" i="7" s="1"/>
  <c r="AN78" i="7"/>
  <c r="O207" i="1"/>
  <c r="F44" i="1"/>
  <c r="O26" i="1"/>
  <c r="L695" i="7" l="1"/>
  <c r="L696" i="7" s="1"/>
  <c r="C46" i="7" s="1"/>
  <c r="AY207" i="1"/>
  <c r="AY26" i="1"/>
  <c r="F50" i="1"/>
  <c r="AW207" i="1"/>
  <c r="AW26" i="1"/>
  <c r="F48" i="1"/>
  <c r="AV207" i="1"/>
  <c r="AV26" i="1"/>
  <c r="F47" i="1"/>
  <c r="F261" i="1"/>
  <c r="W18" i="1"/>
  <c r="F251" i="1"/>
  <c r="R18" i="1"/>
  <c r="Q237" i="1"/>
  <c r="F219" i="1"/>
  <c r="Q22" i="1"/>
  <c r="F147" i="1"/>
  <c r="AY125" i="1"/>
  <c r="CA26" i="1"/>
  <c r="AR42" i="1"/>
  <c r="F145" i="1"/>
  <c r="AW125" i="1"/>
  <c r="O237" i="1"/>
  <c r="F209" i="1"/>
  <c r="O22" i="1"/>
  <c r="F165" i="1"/>
  <c r="X125" i="1"/>
  <c r="F227" i="1"/>
  <c r="H16" i="2" s="1"/>
  <c r="BA237" i="1"/>
  <c r="BA22" i="1"/>
  <c r="F248" i="1"/>
  <c r="AZ18" i="1"/>
  <c r="CA125" i="1"/>
  <c r="AR139" i="1"/>
  <c r="AS93" i="1"/>
  <c r="CB74" i="1"/>
  <c r="F121" i="1"/>
  <c r="AR74" i="1"/>
  <c r="F222" i="1"/>
  <c r="J16" i="2" s="1"/>
  <c r="S237" i="1"/>
  <c r="S22" i="1"/>
  <c r="F59" i="1"/>
  <c r="AS26" i="1"/>
  <c r="AR171" i="1"/>
  <c r="F205" i="1"/>
  <c r="X207" i="1"/>
  <c r="F68" i="1"/>
  <c r="X26" i="1"/>
  <c r="F95" i="1"/>
  <c r="O74" i="1"/>
  <c r="F120" i="1"/>
  <c r="Y74" i="1"/>
  <c r="Y207" i="1"/>
  <c r="F69" i="1"/>
  <c r="Y26" i="1"/>
  <c r="O125" i="1"/>
  <c r="F141" i="1"/>
  <c r="F260" i="1"/>
  <c r="V18" i="1"/>
  <c r="F244" i="1"/>
  <c r="AX18" i="1"/>
  <c r="F144" i="1"/>
  <c r="AV125" i="1"/>
  <c r="K49" i="7"/>
  <c r="G692" i="7"/>
  <c r="G693" i="7"/>
  <c r="K50" i="7"/>
  <c r="AS139" i="1"/>
  <c r="CB125" i="1"/>
  <c r="F259" i="1"/>
  <c r="U18" i="1"/>
  <c r="AS171" i="1"/>
  <c r="F194" i="1"/>
  <c r="P237" i="1"/>
  <c r="F210" i="1"/>
  <c r="P22" i="1"/>
  <c r="F119" i="1"/>
  <c r="X74" i="1"/>
  <c r="F252" i="1" l="1"/>
  <c r="S18" i="1"/>
  <c r="F239" i="1"/>
  <c r="O18" i="1"/>
  <c r="F212" i="1"/>
  <c r="AV237" i="1"/>
  <c r="AV22" i="1"/>
  <c r="X237" i="1"/>
  <c r="F233" i="1"/>
  <c r="X22" i="1"/>
  <c r="F249" i="1"/>
  <c r="Q18" i="1"/>
  <c r="F257" i="1"/>
  <c r="BA18" i="1"/>
  <c r="AR207" i="1"/>
  <c r="F70" i="1"/>
  <c r="AR26" i="1"/>
  <c r="F213" i="1"/>
  <c r="AW237" i="1"/>
  <c r="AW22" i="1"/>
  <c r="F240" i="1"/>
  <c r="P18" i="1"/>
  <c r="F110" i="1"/>
  <c r="AS74" i="1"/>
  <c r="Y237" i="1"/>
  <c r="F234" i="1"/>
  <c r="Y22" i="1"/>
  <c r="AR125" i="1"/>
  <c r="F167" i="1"/>
  <c r="F156" i="1"/>
  <c r="AS125" i="1"/>
  <c r="AS207" i="1"/>
  <c r="F215" i="1"/>
  <c r="AY237" i="1"/>
  <c r="AY22" i="1"/>
  <c r="F263" i="1" l="1"/>
  <c r="X18" i="1"/>
  <c r="F242" i="1"/>
  <c r="AV18" i="1"/>
  <c r="AS237" i="1"/>
  <c r="F224" i="1"/>
  <c r="AS22" i="1"/>
  <c r="AR237" i="1"/>
  <c r="F235" i="1"/>
  <c r="AR22" i="1"/>
  <c r="F243" i="1"/>
  <c r="AW18" i="1"/>
  <c r="F245" i="1"/>
  <c r="AY18" i="1"/>
  <c r="F264" i="1"/>
  <c r="Y18" i="1"/>
  <c r="F265" i="1" l="1"/>
  <c r="F266" i="1" s="1"/>
  <c r="AR18" i="1"/>
  <c r="F254" i="1"/>
  <c r="AS18" i="1"/>
  <c r="E16" i="2"/>
  <c r="I16" i="2" s="1"/>
  <c r="N16" i="2" s="1"/>
  <c r="C49" i="7"/>
  <c r="F267" i="1" l="1"/>
  <c r="F268" i="1" s="1"/>
</calcChain>
</file>

<file path=xl/sharedStrings.xml><?xml version="1.0" encoding="utf-8"?>
<sst xmlns="http://schemas.openxmlformats.org/spreadsheetml/2006/main" count="6883" uniqueCount="721">
  <si>
    <t>"СОГЛАСОВАНО"</t>
  </si>
  <si>
    <t>"УТВЕРЖДАЮ"</t>
  </si>
  <si>
    <t>"_____"________________ 2026 г.</t>
  </si>
  <si>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</si>
  <si>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</si>
  <si>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</si>
  <si>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</si>
  <si>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</si>
  <si>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</si>
  <si>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</si>
  <si>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Письмо Департамента экономической политики и развития города Москвы от 27.10.2025 № ДПР-3-23615/25(1)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</si>
  <si>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</si>
  <si>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</si>
  <si>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</si>
  <si>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</si>
  <si>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</si>
  <si>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</si>
  <si>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</si>
  <si>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</si>
  <si>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</si>
  <si>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</si>
  <si>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</si>
  <si>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</si>
  <si>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I квартал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</si>
  <si>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</si>
  <si>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</si>
  <si>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</si>
  <si>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</si>
  <si>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</si>
  <si>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</si>
  <si>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</si>
  <si>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</si>
  <si>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</si>
  <si>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</si>
  <si>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</si>
  <si>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</si>
  <si>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</si>
  <si>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</si>
  <si>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</si>
  <si>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</si>
  <si>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</si>
  <si>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</si>
  <si>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</si>
  <si>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</si>
  <si>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</si>
  <si>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</si>
  <si>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</si>
  <si>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</si>
  <si>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</si>
  <si>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Работа 1</t>
  </si>
  <si>
    <t>1</t>
  </si>
  <si>
    <t>ГЭСНр 63-03-008-02</t>
  </si>
  <si>
    <t>ОТ (ЗТ)</t>
  </si>
  <si>
    <t>1-100-35</t>
  </si>
  <si>
    <t>Средний разряд работы 3,5</t>
  </si>
  <si>
    <t>ЭМ</t>
  </si>
  <si>
    <t>ОТм(ЗТм)</t>
  </si>
  <si>
    <t>91.06.06-048</t>
  </si>
  <si>
    <t>Подъемники одномачтовые, грузоподъемность до 500 кг, высота подъема 45 м</t>
  </si>
  <si>
    <t>маш.-ч</t>
  </si>
  <si>
    <t>4-100-030</t>
  </si>
  <si>
    <t>ОТм(ЗТм) Средний разряд машинистов 3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</si>
  <si>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</si>
  <si>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</si>
  <si>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</si>
  <si>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</si>
  <si>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М</t>
  </si>
  <si>
    <t>09.2.02.02-0011</t>
  </si>
  <si>
    <t>Рейка алюминиевая сплошная потолочная S-формы, ширина 100 мм, толщина 0,3 мм</t>
  </si>
  <si>
    <t>м</t>
  </si>
  <si>
    <t>Итого прямые затраты</t>
  </si>
  <si>
    <t>ФОТ</t>
  </si>
  <si>
    <t>Пр/812-097.0-1</t>
  </si>
  <si>
    <t>НР Стекольные, обойные, облицовочные работы</t>
  </si>
  <si>
    <t>%</t>
  </si>
  <si>
    <t>Пр/774-097.0</t>
  </si>
  <si>
    <t>СП Стекольные, обойные, облицовочные работы</t>
  </si>
  <si>
    <t>Всего по позиции</t>
  </si>
  <si>
    <t>=</t>
  </si>
  <si>
    <t>2</t>
  </si>
  <si>
    <t>3</t>
  </si>
  <si>
    <t>ГЭСНр 65-01-005-09</t>
  </si>
  <si>
    <t>01.1.02.08-0002</t>
  </si>
  <si>
    <t>Прокладки из паронита ПМБ, толщина 1 мм, диаметр 100 мм</t>
  </si>
  <si>
    <t>1000 ШТ</t>
  </si>
  <si>
    <t>01.7.15.03-0015</t>
  </si>
  <si>
    <t>Болты стальные с шестигранной головкой, в комплекте с шестигранной гайкой и плоской круглой шайбой, диаметр резьбы М20 (М22), длина болта 40-220 мм</t>
  </si>
  <si>
    <t>т</t>
  </si>
  <si>
    <t>3.1</t>
  </si>
  <si>
    <t>3.2</t>
  </si>
  <si>
    <t>Пр/812-099.2-1</t>
  </si>
  <si>
    <t>НР Внутренние санитарнотехнические работы: смена труб, санприборов, запорной арматуры и другое</t>
  </si>
  <si>
    <t>Пр/774-099.2</t>
  </si>
  <si>
    <t>СП Внутренние санитарнотехнические работы: смена труб, санприборов, запорной арматуры и другое</t>
  </si>
  <si>
    <t>4</t>
  </si>
  <si>
    <t>ГЭСНр 65-01-009-08</t>
  </si>
  <si>
    <t>1-100-40</t>
  </si>
  <si>
    <t>Средний разряд работы 4,0</t>
  </si>
  <si>
    <t>91.17.04-042</t>
  </si>
  <si>
    <t>Аппараты для газовой сварки и резки</t>
  </si>
  <si>
    <t>91.17.04-233</t>
  </si>
  <si>
    <t>Аппараты сварочные для ручной дуговой сварки, сварочный ток до 350 А</t>
  </si>
  <si>
    <t>01.3.02.03-0001</t>
  </si>
  <si>
    <t>Ацетилен газообразный технический</t>
  </si>
  <si>
    <t>м3</t>
  </si>
  <si>
    <t>01.3.02.08-0001</t>
  </si>
  <si>
    <t>Кислород газообразный технический</t>
  </si>
  <si>
    <t>01.7.11.04-0072</t>
  </si>
  <si>
    <t>Проволока сварочная без покрытия СВ-08Г2С, диаметр 4 мм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</si>
  <si>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</si>
  <si>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</si>
  <si>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</si>
  <si>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4.1</t>
  </si>
  <si>
    <t>4.2</t>
  </si>
  <si>
    <t>5</t>
  </si>
  <si>
    <t>ГЭСН 13-03-002-04</t>
  </si>
  <si>
    <r>
      <rPr>
        <sz val="11"/>
        <rFont val="Arial"/>
        <charset val="204"/>
      </rPr>
      <t>Огрунтовка металлических поверхностей за один раз: грунтовкой ГФ-021/за 2 раза</t>
    </r>
    <r>
      <rPr>
        <i/>
        <sz val="10"/>
        <rFont val="Arial"/>
        <charset val="204"/>
      </rPr>
      <t xml:space="preserve">
Поправки к: 
М *2;   
ЭМ *1,25*2;   
ЗТ *1,15*2;   
ЗТм *1,25*2;   
НР *0,9;   
СП *0,85</t>
    </r>
  </si>
  <si>
    <t>1-100-47</t>
  </si>
  <si>
    <t>Средний разряд работы 4,7</t>
  </si>
  <si>
    <t>91.06.03-060</t>
  </si>
  <si>
    <t>Лебедки электрические тяговым усилием до 5,79 кН (0,59 т)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</si>
  <si>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</si>
  <si>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</si>
  <si>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</si>
  <si>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ОТм(ЗТм) Средний разряд машинистов 5</t>
  </si>
  <si>
    <t>91.21.01-012</t>
  </si>
  <si>
    <t>Агрегаты окрасочные высокого давления для окраски поверхностей конструкций, мощность 1 кВт</t>
  </si>
  <si>
    <t>14.4.01.01-0003</t>
  </si>
  <si>
    <t>Грунтовка ГФ-021</t>
  </si>
  <si>
    <t>14.5.09.02-0002</t>
  </si>
  <si>
    <t>Ксилол нефтяной, марка А</t>
  </si>
  <si>
    <t>Пр/812-013.0-1;_x000D_
п.25</t>
  </si>
  <si>
    <t>НР Защита строительных конструкций и оборудования от коррозии</t>
  </si>
  <si>
    <t>Пр/774-013.0;_x000D_
п.16</t>
  </si>
  <si>
    <t>СП Защита строительных конструкций и оборудования от коррозии</t>
  </si>
  <si>
    <t>6</t>
  </si>
  <si>
    <t>ГЭСН 15-04-030-04</t>
  </si>
  <si>
    <t>421/пр_2020_п.58_пп.б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</si>
  <si>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ЭМ *1,25; ЗТ *1,15; ЗТм *1,25; НР *0,9; СП *0,85</t>
  </si>
  <si>
    <t>1-100-33</t>
  </si>
  <si>
    <t>Средний разряд работы 3,3</t>
  </si>
  <si>
    <t>01.7.20.08-0051</t>
  </si>
  <si>
    <t>Ветошь хлопчатобумажная цветная</t>
  </si>
  <si>
    <t>14.5.05.02-0001</t>
  </si>
  <si>
    <t>Олифа натуральная</t>
  </si>
  <si>
    <t>6.1</t>
  </si>
  <si>
    <t>Пр/812-015.0-1;_x000D_
п.25</t>
  </si>
  <si>
    <t>НР Отделочные работы</t>
  </si>
  <si>
    <t>Пр/774-015.0;_x000D_
п.16</t>
  </si>
  <si>
    <t>СП Отделочные работы</t>
  </si>
  <si>
    <t>7</t>
  </si>
  <si>
    <t>ГЭСН 26-01-003-01</t>
  </si>
  <si>
    <t>1-100-36</t>
  </si>
  <si>
    <t>Средний разряд работы 3,6</t>
  </si>
  <si>
    <t>91.21.22-443</t>
  </si>
  <si>
    <t>Станки универсальные электромеханические для изготовления бандажей, диафрагм, пряжек, мощность 0,75 кВт</t>
  </si>
  <si>
    <t>01.7.15.14-0304</t>
  </si>
  <si>
    <t>Шурупы самонарезающие стальные оцинкованные с полукруглой головкой и крестообразным шлицем, остроконечные, диаметр 4 мм, длина 12 мм</t>
  </si>
  <si>
    <t>08.3.02.01-0041</t>
  </si>
  <si>
    <t>Ленты стальные упаковочные, мягкие, нормальной точности по толщине и ширине 0,7х20-50 мм</t>
  </si>
  <si>
    <t>08.3.03.05-0011</t>
  </si>
  <si>
    <t>Проволока стальная низкоуглеродистая оцинкованная разного назначения, диаметр 1,1 мм</t>
  </si>
  <si>
    <t>08.3.03.05-0013</t>
  </si>
  <si>
    <t>Проволока стальная низкоуглеродистая оцинкованная разного назначения, диаметр 1,6 мм</t>
  </si>
  <si>
    <t>08.3.05.05-0054</t>
  </si>
  <si>
    <t>Сталь листовая оцинкованная, толщина 0,8 мм</t>
  </si>
  <si>
    <t>7.1</t>
  </si>
  <si>
    <t>Пр/812-020.0-1;_x000D_
п.25</t>
  </si>
  <si>
    <t>НР Теплоизоляционные работы</t>
  </si>
  <si>
    <t>Пр/774-020.0;_x000D_
п.16</t>
  </si>
  <si>
    <t>СП Теплоизоляционные работы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</si>
  <si>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</si>
  <si>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</si>
  <si>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</si>
  <si>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</si>
  <si>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</si>
  <si>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</si>
  <si>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</si>
  <si>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</si>
  <si>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</si>
  <si>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</si>
  <si>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</si>
  <si>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</si>
  <si>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</si>
  <si>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</si>
  <si>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</si>
  <si>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</si>
  <si>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</si>
  <si>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</si>
  <si>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</si>
  <si>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</si>
  <si>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</si>
  <si>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</si>
  <si>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</si>
  <si>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</si>
  <si>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</si>
  <si>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</si>
  <si>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Работа 2</t>
  </si>
  <si>
    <t>8</t>
  </si>
  <si>
    <t>8.1</t>
  </si>
  <si>
    <t>8.2</t>
  </si>
  <si>
    <t>8.3</t>
  </si>
  <si>
    <t>9</t>
  </si>
  <si>
    <t>ГЭСНр 63-03-004-02</t>
  </si>
  <si>
    <t>1-100-31</t>
  </si>
  <si>
    <t>Средний разряд работы 3,1</t>
  </si>
  <si>
    <t>10</t>
  </si>
  <si>
    <t>ГЭСН 10-05-011-02</t>
  </si>
  <si>
    <t>91.05.05-015</t>
  </si>
  <si>
    <t>Краны на автомобильном ходу, грузоподъемность 16 т</t>
  </si>
  <si>
    <t>4-100-060</t>
  </si>
  <si>
    <t>ОТм(ЗТм) Средний разряд машинистов 6</t>
  </si>
  <si>
    <t>91.21.12-004</t>
  </si>
  <si>
    <t>Ножницы электрические</t>
  </si>
  <si>
    <t>01.7.03.01-0001</t>
  </si>
  <si>
    <t>Вода</t>
  </si>
  <si>
    <t>01.7.03.04-0001</t>
  </si>
  <si>
    <t>Электроэнергия</t>
  </si>
  <si>
    <t>КВТ-Ч</t>
  </si>
  <si>
    <t>01.7.06.01-0041</t>
  </si>
  <si>
    <t>Ленты эластичные самоклеящиеся для профилей направляющих 30х30000 мм</t>
  </si>
  <si>
    <t>01.7.06.04-0002</t>
  </si>
  <si>
    <t>Ленты бумажные перфорированные армирующие для повышения трещиностойкости стыков, ширина 52 мм</t>
  </si>
  <si>
    <t>01.7.06.04-0007</t>
  </si>
  <si>
    <t>Ленты бумажные для создания искусственных трещин между каркасными конструкциями и примыкающими поверхностями, с липким слоем с одной стороны и антиадгезионным покрытием с другой, цвет белый, ширина 65 мм</t>
  </si>
  <si>
    <t>100 м</t>
  </si>
  <si>
    <t>01.7.15.07-0082</t>
  </si>
  <si>
    <t>Дюбель-гвозди полипропиленовые анкерные с бортом, диаметр 6 мм, длина 40 мм</t>
  </si>
  <si>
    <t>100 ШТ</t>
  </si>
  <si>
    <t>01.7.15.07-0152</t>
  </si>
  <si>
    <t>Дюбели пластмассовые с шурупами, диаметр 6 мм, длина 35 мм, диаметр шурупа 3,5 мм, длина шурупа 50 мм</t>
  </si>
  <si>
    <t>01.7.15.14-0042</t>
  </si>
  <si>
    <t>Шурупы самонарезающие стальные оксидированные с полукруглой головкой и крестообразным шлицем, остроконечные, диаметр 3,5 мм, длина 9,5 мм</t>
  </si>
  <si>
    <t>01.7.15.14-0044</t>
  </si>
  <si>
    <t>Шурупы самонарезающие стальные оксидированные с потайной головкой и крестообразным шлицем, остроконечные, диаметр 3,5 мм, длина 25 мм</t>
  </si>
  <si>
    <t>07.2.06.03-0119</t>
  </si>
  <si>
    <t>Профиль направляющий из оцинкованной стали, для монтажа гипсовых перегородок и подвесных потолков, размеры 28х27 мм, толщина стали 0,6 мм</t>
  </si>
  <si>
    <t>07.2.06.03-0155</t>
  </si>
  <si>
    <t>Профиль направляющий из оцинкованной стали, размеры 60х27 мм, толщина стали 0,6 мм</t>
  </si>
  <si>
    <t>07.2.06.04-0078</t>
  </si>
  <si>
    <t>Подвесы анкерные стальные оцинкованные пружинные с зажимом профиля, размеры профиля 60х27 мм</t>
  </si>
  <si>
    <t>07.2.06.05-0001</t>
  </si>
  <si>
    <t>Удлинители стальные оцинкованные для соединения потолочных профилей размером 60х27 мм, размеры 110х58х25 мм, толщина 0,6 мм</t>
  </si>
  <si>
    <t>07.2.06.05-0017</t>
  </si>
  <si>
    <t>Соединители профиля стальные оцинкованные одноуровневые потолочные (краб), размеры 148х148 мм, толщина 0,9 мм</t>
  </si>
  <si>
    <t>14.4.01.02-0012</t>
  </si>
  <si>
    <t>Грунтовка укрепляющая, глубокого проникновения, быстросохнущая, паропроницаемая</t>
  </si>
  <si>
    <t>14.5.11.03-0001</t>
  </si>
  <si>
    <t>Смеси сухие шпатлевочные на основе высокопрочного гипса с полимерными добавками, крупность заполнителя не более 0,15 мм, прочность на изгиб 2,7 МПа</t>
  </si>
  <si>
    <t>14.5.11.03-0004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</si>
  <si>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</si>
  <si>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10.1</t>
  </si>
  <si>
    <t>10.2</t>
  </si>
  <si>
    <t>Пр/812-010.0-1;_x000D_
п.25</t>
  </si>
  <si>
    <t>НР Деревянные конструкции</t>
  </si>
  <si>
    <t>Пр/774-010.0;_x000D_
п.16</t>
  </si>
  <si>
    <t>СП Деревянные конструкции</t>
  </si>
  <si>
    <t>11</t>
  </si>
  <si>
    <t>ГЭСН 15-02-035-04</t>
  </si>
  <si>
    <t>01.7.07.29-0111</t>
  </si>
  <si>
    <t>Пакля смоляная пропитанная</t>
  </si>
  <si>
    <t>04.3.01.07-0025</t>
  </si>
  <si>
    <t>Раствор штукатурный, известковый, М100</t>
  </si>
  <si>
    <t>12</t>
  </si>
  <si>
    <t>ГЭСН 15-04-007-04</t>
  </si>
  <si>
    <t>91.06.06-046</t>
  </si>
  <si>
    <t>Подъемники одномачтовые, грузоподъемность до 500 кг, высота подъема 25 м</t>
  </si>
  <si>
    <t>01.7.17.11-0011</t>
  </si>
  <si>
    <t>Шкурка шлифовальная двухслойная с зернистостью 40-25</t>
  </si>
  <si>
    <t>м2</t>
  </si>
  <si>
    <t>14.5.11.02-0101</t>
  </si>
  <si>
    <t>Шпатлевка водно-дисперсионная</t>
  </si>
  <si>
    <t>12.1</t>
  </si>
  <si>
    <t>12.2</t>
  </si>
  <si>
    <t>13</t>
  </si>
  <si>
    <t>ГЭСНр 65-01-005-08</t>
  </si>
  <si>
    <t>01.1.02.08-0001</t>
  </si>
  <si>
    <t>Прокладки из паронита ПМБ, толщина 1 мм, диаметр 50 мм</t>
  </si>
  <si>
    <t>13.1</t>
  </si>
  <si>
    <t>13.2</t>
  </si>
  <si>
    <t>13.3</t>
  </si>
  <si>
    <t>Раздел: Работа 3</t>
  </si>
  <si>
    <t>14</t>
  </si>
  <si>
    <t>ГЭСНр 65-01-009-07</t>
  </si>
  <si>
    <t>14.1</t>
  </si>
  <si>
    <t>14.2</t>
  </si>
  <si>
    <t>14.3</t>
  </si>
  <si>
    <t>15</t>
  </si>
  <si>
    <t>16</t>
  </si>
  <si>
    <t>16.1</t>
  </si>
  <si>
    <t>17</t>
  </si>
  <si>
    <t>17.1</t>
  </si>
  <si>
    <t>18</t>
  </si>
  <si>
    <t>19</t>
  </si>
  <si>
    <t>Раздел: Работа 5</t>
  </si>
  <si>
    <t>20</t>
  </si>
  <si>
    <t>ГЭСНр 69-01-015-01</t>
  </si>
  <si>
    <t>1-100-10</t>
  </si>
  <si>
    <t>Средний разряд работы 1,0</t>
  </si>
  <si>
    <t>01.7.20.03-0003</t>
  </si>
  <si>
    <t>Мешки полипропиленовые, размеры 550х1050 мм, грузоподъемность до 50 кг</t>
  </si>
  <si>
    <t>Пр/812-103.0-1</t>
  </si>
  <si>
    <t>НР Прочие ремонтно-строительные работы</t>
  </si>
  <si>
    <t>Пр/774-103.0</t>
  </si>
  <si>
    <t>СП Прочие ремонтно-строительные работы</t>
  </si>
  <si>
    <t>21</t>
  </si>
  <si>
    <t>47-1</t>
  </si>
  <si>
    <t>22</t>
  </si>
  <si>
    <t>02-15-1-01-0050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</si>
  <si>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</si>
  <si>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</si>
  <si>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</si>
  <si>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</si>
  <si>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</si>
  <si>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</si>
  <si>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</si>
  <si>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</si>
  <si>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</si>
  <si>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</si>
  <si>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</si>
  <si>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</si>
  <si>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</si>
  <si>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</si>
  <si>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</si>
  <si>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</si>
  <si>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</si>
  <si>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</si>
  <si>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</si>
  <si>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</si>
  <si>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Smeta.RU  (495) 974-1589</t>
  </si>
  <si>
    <t>_PS_</t>
  </si>
  <si>
    <t>Smeta.RU</t>
  </si>
  <si>
    <t/>
  </si>
  <si>
    <t>Замена элементов систем водоснабжения, отопления и канализации с последующими ремонтно-восстановительными работами</t>
  </si>
  <si>
    <t>Сметные нормы списания</t>
  </si>
  <si>
    <t>Коды ценников</t>
  </si>
  <si>
    <t>ФСНБ-2022_И17 Москва</t>
  </si>
  <si>
    <t>Версия 1.17.0 для ФСНБ-2022 И17</t>
  </si>
  <si>
    <t>ФСНБ-2022 - Изменения И17</t>
  </si>
  <si>
    <t>Поправки для ФСНБ-2022 от 25.02.2026 г И17 (55/пр) Капитальный ремонт жилых и общественных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</si>
  <si>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</si>
  <si>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</si>
  <si>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</si>
  <si>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Новый раздел</t>
  </si>
  <si>
    <t>Работа 1</t>
  </si>
  <si>
    <t>63-03-008-02</t>
  </si>
  <si>
    <t>Замена элементов облицовки потолков: реечных без замены каркаса/Демонтаж и монтаж ранее демонтируемого потолка</t>
  </si>
  <si>
    <t>100 м2</t>
  </si>
  <si>
    <t>ГЭСНр-2022 доп.3, 63-03-008-02, приказ Минстроя России от 26.10.2022 г. № 905/пр</t>
  </si>
  <si>
    <t>Ремонтно-строительные работы</t>
  </si>
  <si>
    <t>Стекольные, обойные и облицовочные работы</t>
  </si>
  <si>
    <t>Стекольные, обойные, облицовочные работы</t>
  </si>
  <si>
    <t>рФЕР-63</t>
  </si>
  <si>
    <t>ФСБЦ-2022, 09.2.02.02-0011, приказ Минстроя России от 18.05.2022 г. № 378/пр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</si>
  <si>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</si>
  <si>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</si>
  <si>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</si>
  <si>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65-01-005-09</t>
  </si>
  <si>
    <t>Смена задвижек диаметром: 100 мм/диам.80 мм</t>
  </si>
  <si>
    <t>ГЭСНр-2022 доп.17, 65-01-005-09, приказ Минстроя России от 17.02.2026 г. № 91/пр</t>
  </si>
  <si>
    <t>Внутренние санитарно-технические работы</t>
  </si>
  <si>
    <t>Внутренние санитарнотехнические работы: смена труб, санприборов, запорной арматуры и другое</t>
  </si>
  <si>
    <t>рФЕР-65</t>
  </si>
  <si>
    <t>3,1</t>
  </si>
  <si>
    <t>18.1.02.01-0028</t>
  </si>
  <si>
    <t>Задвижка клиновая с выдвижным шпинделем, привод ручной, номинальное давление 2,5 МПа, номинальный диаметр 80 мм</t>
  </si>
  <si>
    <t>ШТ</t>
  </si>
  <si>
    <t>ФСБЦ-2022 доп.5, 18.1.02.01-0028, приказ Минстроя России от 10.02.2023 г. № 84/пр</t>
  </si>
  <si>
    <t>3,2</t>
  </si>
  <si>
    <t>999-9899</t>
  </si>
  <si>
    <t>Строительный мусор и масса возвратных материалов</t>
  </si>
  <si>
    <t>65-01-009-08</t>
  </si>
  <si>
    <t>Смена внутренних трубопроводов из стальных труб диаметром: до 80 мм</t>
  </si>
  <si>
    <t>ГЭСНр-2022, 65-01-009-08, приказ Минстроя России от 18.05.2022 г. № 378/пр</t>
  </si>
  <si>
    <t>4,1</t>
  </si>
  <si>
    <t>23.3.06.02-0009</t>
  </si>
  <si>
    <t>Трубы стальные сварные оцинкованные водогазопроводные с резьбой, обыкновенные, номинальный диаметр 90 мм, толщина стенки 4 мм</t>
  </si>
  <si>
    <t>ФСБЦ-2022, 23.3.06.02-0009, приказ Минстроя России от 18.05.2022 г. № 378/пр</t>
  </si>
  <si>
    <t>4,2</t>
  </si>
  <si>
    <t>24.1.02.01-0022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</si>
  <si>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80 до 86 мм</t>
  </si>
  <si>
    <t>ФСБЦ-2022, 24.1.02.01-0022, приказ Минстроя России от 18.05.2022 г. № 378/пр</t>
  </si>
  <si>
    <t>13-03-002-04</t>
  </si>
  <si>
    <t>Огрунтовка металлических поверхностей за один раз: грунтовкой ГФ-021/за 2 раза</t>
  </si>
  <si>
    <t>ГЭСН-2022, 13-03-002-04, приказ Минстроя России от 18.05.2022 г. № 378/пр</t>
  </si>
  <si>
    <t>Поправка: 421/пр_2020_п.58_пп.б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</si>
  <si>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*2</t>
  </si>
  <si>
    <t>*1,25*2</t>
  </si>
  <si>
    <t>*1,15*2</t>
  </si>
  <si>
    <t>*0,9</t>
  </si>
  <si>
    <t>*0,85</t>
  </si>
  <si>
    <t>Общестроительные работы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</si>
  <si>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</si>
  <si>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</si>
  <si>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</si>
  <si>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Поправка: 421/пр_2020_п.58_пп.б</t>
  </si>
  <si>
    <t>Пр/812-013.0-1</t>
  </si>
  <si>
    <t>Пр/774-013.0</t>
  </si>
  <si>
    <t>15-04-030-04</t>
  </si>
  <si>
    <t>Масляная окраска металлических поверхностей: решеток, переплетов, труб диаметром менее 50 мм и т.п., количество окрасок 2</t>
  </si>
  <si>
    <t>ГЭСН-2022 доп.17, 15-04-030-04, приказ Минстроя России от 17.02.2026 г. № 91/пр</t>
  </si>
  <si>
    <t>*1,25</t>
  </si>
  <si>
    <t>*1,15</t>
  </si>
  <si>
    <t>Отделочные работы</t>
  </si>
  <si>
    <t>ФЕР-15</t>
  </si>
  <si>
    <t>Пр/812-015.0-1</t>
  </si>
  <si>
    <t>Пр/774-015.0</t>
  </si>
  <si>
    <t>6,1</t>
  </si>
  <si>
    <t>14.4.02.04-0252</t>
  </si>
  <si>
    <t>Краска масляная МА-25, цветная</t>
  </si>
  <si>
    <t>ФСБЦ-2022, 14.4.02.04-0252, приказ Минстроя России от 18.05.2022 г. № 378/пр</t>
  </si>
  <si>
    <t>26-01-003-01</t>
  </si>
  <si>
    <t>Изоляция трубопроводов цилиндрами и полуцилиндрами из минеральной ваты на синтетическом связующем</t>
  </si>
  <si>
    <t>ГЭСН-2022, 26-01-003-01, приказ Минстроя России от 18.05.2022 г. № 378/пр</t>
  </si>
  <si>
    <t>Теплоизоляционные работы</t>
  </si>
  <si>
    <t>ФЕР-26</t>
  </si>
  <si>
    <t>Пр/812-020.0-1</t>
  </si>
  <si>
    <t>Пр/774-020.0</t>
  </si>
  <si>
    <t>7,1</t>
  </si>
  <si>
    <t>12.2.08.01-0038</t>
  </si>
  <si>
    <t>Цилиндры теплоизоляционные из минеральной ваты на основе базальтовых пород, кашированные армированной алюминиевой фольгой, группа горючести Г1, плотность до 100 кг/м3, теплопроводность при +10/+25 °C не более 0,036/0,039 Вт/(м*К), максимальная температура применения +250 °C, толщина стенки 30 мм, внутренний диаметр 89 мм</t>
  </si>
  <si>
    <t>ФСБЦ-2022 доп.13, 12.2.08.01-0038, приказ Минстроя России от 07.02.2025 г. № 69/пр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</si>
  <si>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</si>
  <si>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</si>
  <si>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</si>
  <si>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</si>
  <si>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</si>
  <si>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</si>
  <si>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</si>
  <si>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</si>
  <si>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</si>
  <si>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</si>
  <si>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</si>
  <si>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</si>
  <si>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</si>
  <si>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</si>
  <si>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</si>
  <si>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</si>
  <si>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</si>
  <si>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</si>
  <si>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</si>
  <si>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</si>
  <si>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</si>
  <si>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</si>
  <si>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</si>
  <si>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</si>
  <si>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</si>
  <si>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</si>
  <si>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</si>
  <si>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</si>
  <si>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</si>
  <si>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</si>
  <si>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</si>
  <si>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</si>
  <si>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</si>
  <si>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</si>
  <si>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</si>
  <si>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</si>
  <si>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</si>
  <si>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</si>
  <si>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</si>
  <si>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</si>
  <si>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</si>
  <si>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</si>
  <si>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</si>
  <si>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</si>
  <si>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</si>
  <si>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</si>
  <si>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</si>
  <si>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</si>
  <si>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</si>
  <si>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</si>
  <si>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</si>
  <si>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</si>
  <si>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</si>
  <si>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</si>
  <si>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Работа 2</t>
  </si>
  <si>
    <t>8,1</t>
  </si>
  <si>
    <t>8,2</t>
  </si>
  <si>
    <t>8,3</t>
  </si>
  <si>
    <t>23.8.04.06-0070</t>
  </si>
  <si>
    <t>Отвод 90° с радиусом кривизны R=1,5 Ду на давление до 16 МПа, номинальный диаметр 80 мм, наружный диаметр 89 мм, толщина стенки 5 мм</t>
  </si>
  <si>
    <t>ФСБЦ-2022, 23.8.04.06-0070, приказ Минстроя России от 18.05.2022 г. № 378/пр</t>
  </si>
  <si>
    <t>63-03-004-02</t>
  </si>
  <si>
    <t>Разборка облицовки из гипсокартонных листов: потолков</t>
  </si>
  <si>
    <t>ГЭСНр-2022, 63-03-004-02, приказ Минстроя России от 18.05.2022 г. № 378/пр</t>
  </si>
  <si>
    <t>10-05-011-02</t>
  </si>
  <si>
    <t>Устройство подвесных потолков из гипсокартонных листов (ГКЛ): одноуровневых</t>
  </si>
  <si>
    <t>ГЭСН-2022 доп.8, 10-05-011-02, приказ Минстроя России от 14.11.2023 г. № 817/пр</t>
  </si>
  <si>
    <t>Деревянные конструкции</t>
  </si>
  <si>
    <t>ФЕР-10</t>
  </si>
  <si>
    <t>Пр/812-010.0-1</t>
  </si>
  <si>
    <t>Пр/774-010.0</t>
  </si>
  <si>
    <t>10,1</t>
  </si>
  <si>
    <t>01.6.01.02-0008</t>
  </si>
  <si>
    <t>Листы гипсокартонные влагостойкие ГКЛВ, толщина 12,5 мм</t>
  </si>
  <si>
    <t>ФСБЦ-2022, 01.6.01.02-0008, приказ Минстроя России от 18.05.2022 г. № 378/пр</t>
  </si>
  <si>
    <t>10,2</t>
  </si>
  <si>
    <t>07.2.06.04-0114</t>
  </si>
  <si>
    <t>Тяги подвеса стальные оцинкованные для монтажа подвесных потолков, диаметр 4 мм, длина 750 мм</t>
  </si>
  <si>
    <t>ФСБЦ-2022, 07.2.06.04-0114, приказ Минстроя России от 18.05.2022 г. № 378/пр</t>
  </si>
  <si>
    <t>15-02-035-04</t>
  </si>
  <si>
    <t>Отделка поверхностей из сборных элементов и плит под окраску или оклейку обоями: потолков сборных из плит</t>
  </si>
  <si>
    <t>ГЭСН-2022 доп.8, 15-02-035-04, приказ Минстроя России от 14.11.2023 г. № 817/пр</t>
  </si>
  <si>
    <t>15-04-007-04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</si>
  <si>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</si>
  <si>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ГЭСН-2022, 15-04-007-04, приказ Минстроя России от 18.05.2022 г. № 378/пр</t>
  </si>
  <si>
    <t>12,1</t>
  </si>
  <si>
    <t>14.3.02.01-0382</t>
  </si>
  <si>
    <t>Краска водно-дисперсионная акрилатная ВД-АК-205</t>
  </si>
  <si>
    <t>ФСБЦ-2022, 14.3.02.01-0382, приказ Минстроя России от 18.05.2022 г. № 378/пр</t>
  </si>
  <si>
    <t>12,2</t>
  </si>
  <si>
    <t>14.4.01.02-0212</t>
  </si>
  <si>
    <t>Грунтовка акриловая АК-070</t>
  </si>
  <si>
    <t>ФСБЦ-2022, 14.4.01.02-0212, приказ Минстроя России от 18.05.2022 г. № 378/пр</t>
  </si>
  <si>
    <t>65-01-005-08</t>
  </si>
  <si>
    <t>Смена задвижек диаметром: 50 мм/диам. 50 мм и 20 мм</t>
  </si>
  <si>
    <t>ГЭСНр-2022 доп.17, 65-01-005-08, приказ Минстроя России от 17.02.2026 г. № 91/пр</t>
  </si>
  <si>
    <t>13,1</t>
  </si>
  <si>
    <t>18.1.09.08-0042</t>
  </si>
  <si>
    <t>Кран шаровой латунный полнопроходной со спускным элементом, номинальное давление 4,0 МПа, номинальный диаметр 20 мм</t>
  </si>
  <si>
    <t>ФСБЦ-2022, 18.1.09.08-0042, приказ Минстроя России от 18.05.2022 г. № 378/пр</t>
  </si>
  <si>
    <t>13,2</t>
  </si>
  <si>
    <t>18.1.09.08-0046</t>
  </si>
  <si>
    <t>Кран шаровой латунный полнопроходной со спускным элементом, номинальное давление 4,0 МПа, номинальный диаметр 50 мм</t>
  </si>
  <si>
    <t>ФСБЦ-2022, 18.1.09.08-0046, приказ Минстроя России от 18.05.2022 г. № 378/пр</t>
  </si>
  <si>
    <t>13,3</t>
  </si>
  <si>
    <t>Работа 3</t>
  </si>
  <si>
    <t>65-01-009-07</t>
  </si>
  <si>
    <t>Смена внутренних трубопроводов из стальных труб диаметром: до 65 мм</t>
  </si>
  <si>
    <t>ГЭСНр-2022, 65-01-009-07, приказ Минстроя России от 18.05.2022 г. № 378/пр</t>
  </si>
  <si>
    <t>14,1</t>
  </si>
  <si>
    <t>23.3.06.01-0007</t>
  </si>
  <si>
    <t>Трубы стальные сварные оцинкованные водогазопроводные с резьбой, легкие, номинальный диаметр 65 мм, толщина стенки 3,2 мм</t>
  </si>
  <si>
    <t>ФСБЦ-2022, 23.3.06.01-0007, приказ Минстроя России от 18.05.2022 г. № 378/пр</t>
  </si>
  <si>
    <t>14,2</t>
  </si>
  <si>
    <t>24.1.02.01-0020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</si>
  <si>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68 до 73 мм</t>
  </si>
  <si>
    <t>ФСБЦ-2022, 24.1.02.01-0020, приказ Минстроя России от 18.05.2022 г. № 378/пр</t>
  </si>
  <si>
    <t>14,3</t>
  </si>
  <si>
    <t>23.8.04.06-0068</t>
  </si>
  <si>
    <t>Отвод 90° с радиусом кривизны R=1,5 Ду на давление до 16 МПа, номинальный диаметр 65 мм, наружный диаметр 76 мм, толщина стенки 6 мм</t>
  </si>
  <si>
    <t>ФСБЦ-2022, 23.8.04.06-0068, приказ Минстроя России от 18.05.2022 г. № 378/пр</t>
  </si>
  <si>
    <t>16,1</t>
  </si>
  <si>
    <t>17,1</t>
  </si>
  <si>
    <t>12.2.08.01-0036</t>
  </si>
  <si>
    <t>Цилиндры теплоизоляционные из минеральной ваты на основе базальтовых пород, кашированные армированной алюминиевой фольгой, группа горючести Г1, плотность до 100 кг/м3, теплопроводность при +10/+25 °C не более 0,036/0,039 Вт/(м*К), максимальная температура применения +250 °C, толщина стенки 30 мм, внутренний диаметр 76 мм</t>
  </si>
  <si>
    <t>ФСБЦ-2022 доп.13, 12.2.08.01-0036, приказ Минстроя России от 07.02.2025 г. № 69/пр</t>
  </si>
  <si>
    <t>Работа 5</t>
  </si>
  <si>
    <t>69-01-015-01</t>
  </si>
  <si>
    <t>Затаривание строительного мусора в мешки</t>
  </si>
  <si>
    <t>ГЭСНр-2022, 69-01-015-01, приказ Минстроя России от 18.05.2022 г. № 378/пр</t>
  </si>
  <si>
    <t>Прочие ремонтно-строительные работы</t>
  </si>
  <si>
    <t>рФЕР-69</t>
  </si>
  <si>
    <t>Погрузка в автотранспортное средство: мусор строительный с погрузкой вручную</t>
  </si>
  <si>
    <t>1т груза</t>
  </si>
  <si>
    <t>Погрузочно-разгрузочные работы</t>
  </si>
  <si>
    <t>812/пр и 774/пр п.106</t>
  </si>
  <si>
    <t>Пр/812-106.0-1</t>
  </si>
  <si>
    <t>Пр/774-106.0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</si>
  <si>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</t>
  </si>
  <si>
    <t>Автомобили бортовые</t>
  </si>
  <si>
    <t>Перевозка строительных грузов автомобильным транспортом</t>
  </si>
  <si>
    <t>Перевозка строительных грузов автомобильным транспортом, тракторами и прицепами</t>
  </si>
  <si>
    <t>812/пр и 774/пр п.107</t>
  </si>
  <si>
    <t>Пр/812-107.0-1</t>
  </si>
  <si>
    <t>Пр/774-107.0</t>
  </si>
  <si>
    <t>Итого</t>
  </si>
  <si>
    <t>Итого:</t>
  </si>
  <si>
    <t>ндс</t>
  </si>
  <si>
    <t>НДС 22%</t>
  </si>
  <si>
    <t>всего</t>
  </si>
  <si>
    <t>Всего по смете: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</si>
  <si>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</si>
  <si>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</si>
  <si>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</si>
  <si>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</si>
  <si>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</si>
  <si>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</si>
  <si>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</si>
  <si>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</si>
  <si>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</si>
  <si>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</si>
  <si>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</si>
  <si>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</si>
  <si>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</si>
  <si>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</si>
  <si>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</si>
  <si>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</si>
  <si>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</si>
  <si>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</si>
  <si>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</si>
  <si>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</si>
  <si>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</si>
  <si>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</si>
  <si>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</si>
  <si>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</si>
  <si>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</si>
  <si>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</si>
  <si>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</si>
  <si>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</si>
  <si>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</si>
  <si>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</si>
  <si>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</si>
  <si>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</si>
  <si>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</si>
  <si>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</si>
  <si>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</si>
  <si>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</si>
  <si>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</si>
  <si>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</si>
  <si>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</si>
  <si>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</si>
  <si>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</si>
  <si>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</si>
  <si>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</si>
  <si>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</si>
  <si>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</si>
  <si>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</si>
  <si>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</si>
  <si>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</si>
  <si>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</si>
  <si>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</si>
  <si>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</si>
  <si>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</si>
  <si>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</si>
  <si>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</si>
  <si>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</si>
  <si>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</si>
  <si>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</si>
  <si>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</si>
  <si>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</si>
  <si>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</si>
  <si>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</si>
  <si>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</si>
  <si>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</si>
  <si>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</si>
  <si>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</si>
  <si>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</si>
  <si>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</si>
  <si>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</si>
  <si>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Москва, КТЦ к ФСНБ-2022, 1 квартал 2026 г</t>
  </si>
  <si>
    <t>Сборник индексов</t>
  </si>
  <si>
    <t>Москва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</si>
  <si>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</si>
  <si>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</si>
  <si>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_OBSM_</t>
  </si>
  <si>
    <t>4-100-00</t>
  </si>
  <si>
    <t>Затраты труда машинистов</t>
  </si>
  <si>
    <t>ФСЭМ-2022, 91.06.06-048, приказ Минстроя России от 18.05.2022 г. № 378/пр</t>
  </si>
  <si>
    <t>ФСЭМ-2022 доп.7, 91.14.02-001, приказ Минстроя России от 02.08.2023 г. № 551/пр</t>
  </si>
  <si>
    <t>ФСБЦ-2022, 01.1.02.08-0002, приказ Минстроя России от 18.05.2022 г. № 378/пр</t>
  </si>
  <si>
    <t>ФСБЦ-2022 доп.11, 01.7.15.03-0015, приказ Минстроя России от 09.08.2024 г. № 524/пр</t>
  </si>
  <si>
    <t>ФСЭМ-2022, 91.17.04-042, приказ Минстроя России от 18.05.2022 г. № 378/пр</t>
  </si>
  <si>
    <t>ФСЭМ-2022, 91.17.04-233, приказ Минстроя России от 18.05.2022 г. № 378/пр</t>
  </si>
  <si>
    <t>ФСБЦ-2022, 01.3.02.03-0001, приказ Минстроя России от 18.05.2022 г. № 378/пр</t>
  </si>
  <si>
    <t>ФСБЦ-2022 доп.3, 01.3.02.08-0001, приказ Минстроя России от 26.10.2022 г. № 905/пр</t>
  </si>
  <si>
    <t>ФСБЦ-2022, 01.7.11.04-0072, приказ Минстроя России от 18.05.2022 г. № 378/пр</t>
  </si>
  <si>
    <t>ФСБЦ-2022, 01.7.11.07-0227, приказ Минстроя России от 18.05.2022 г. № 378/пр</t>
  </si>
  <si>
    <t>ФСЭМ-2022, 91.06.03-060, приказ Минстроя России от 18.05.2022 г. № 378/пр</t>
  </si>
  <si>
    <t>ФСЭМ-2022, 91.06.05-011, приказ Минстроя России от 18.05.2022 г. № 378/пр</t>
  </si>
  <si>
    <t>ФСЭМ-2022 доп.11, 91.21.01-012, приказ Минстроя России от 09.08.2024 г. № 524/пр</t>
  </si>
  <si>
    <t>ФСБЦ-2022, 14.4.01.01-0003, приказ Минстроя России от 18.05.2022 г. № 378/пр</t>
  </si>
  <si>
    <t>ФСБЦ-2022, 14.5.09.02-0002, приказ Минстроя России от 18.05.2022 г. № 378/пр</t>
  </si>
  <si>
    <t>ФСБЦ-2022 доп.8, 01.7.20.08-0051, приказ Минстроя России от 14.11.2023 г. № 817/пр</t>
  </si>
  <si>
    <t>ФСБЦ-2022, 14.5.05.02-0001, приказ Минстроя России от 18.05.2022 г. № 378/пр</t>
  </si>
  <si>
    <t>ФСЭМ-2022 доп.4, 91.21.22-443, приказ Минстроя России от 27.12.2022 г. № 1133/пр</t>
  </si>
  <si>
    <t>ФСБЦ-2022 доп.12, 01.7.15.14-0304, приказ Минстроя России от 07.11.2024 г. № 747/пр</t>
  </si>
  <si>
    <t>ФСБЦ-2022, 08.3.02.01-0041, приказ Минстроя России от 18.05.2022 г. № 378/пр</t>
  </si>
  <si>
    <t>ФСБЦ-2022, 08.3.03.05-0011, приказ Минстроя России от 18.05.2022 г. № 378/пр</t>
  </si>
  <si>
    <t>ФСБЦ-2022, 08.3.03.05-0013, приказ Минстроя России от 18.05.2022 г. № 378/пр</t>
  </si>
  <si>
    <t>ФСБЦ-2022, 08.3.05.05-0054, приказ Минстроя России от 18.05.2022 г. № 378/пр</t>
  </si>
  <si>
    <t>ФСЭМ-2022, 91.05.05-015, приказ Минстроя России от 18.05.2022 г. № 378/пр</t>
  </si>
  <si>
    <t>ФСЭМ-2022, 91.21.12-004, приказ Минстроя России от 18.05.2022 г. № 378/пр</t>
  </si>
  <si>
    <t>ФСБЦ-2022, 01.7.03.01-0001, приказ Минстроя России от 18.05.2022 г. № 378/пр</t>
  </si>
  <si>
    <t>ФСБЦ-2022, 01.7.03.04-0001, приказ Минстроя России от 18.05.2022 г. № 378/пр</t>
  </si>
  <si>
    <t>ФСБЦ-2022 доп.5, 01.7.06.01-0041, приказ Минстроя России от 10.02.2023 г. № 84/пр</t>
  </si>
  <si>
    <t>ФСБЦ-2022, 01.7.06.04-0002, приказ Минстроя России от 18.05.2022 г. № 378/пр</t>
  </si>
  <si>
    <t>ФСБЦ-2022, 01.7.06.04-0007, приказ Минстроя России от 18.05.2022 г. № 378/пр</t>
  </si>
  <si>
    <t>ФСБЦ-2022, 01.7.15.07-0082, приказ Минстроя России от 18.05.2022 г. № 378/пр</t>
  </si>
  <si>
    <t>ФСБЦ-2022, 01.7.15.07-0152, приказ Минстроя России от 18.05.2022 г. № 378/пр</t>
  </si>
  <si>
    <t>ФСБЦ-2022 доп.12, 01.7.15.14-0042, приказ Минстроя России от 07.11.2024 г. № 747/пр</t>
  </si>
  <si>
    <t>ФСБЦ-2022 доп.12, 01.7.15.14-0044, приказ Минстроя России от 07.11.2024 г. № 747/пр</t>
  </si>
  <si>
    <t>ФСБЦ-2022, 07.2.06.03-0119, приказ Минстроя России от 18.05.2022 г. № 378/пр</t>
  </si>
  <si>
    <t>ФСБЦ-2022 доп.8, 07.2.06.03-0155, приказ Минстроя России от 14.11.2023 г. № 817/пр</t>
  </si>
  <si>
    <t>ФСБЦ-2022 доп.8, 07.2.06.04-0078, приказ Минстроя России от 14.11.2023 г. № 817/пр</t>
  </si>
  <si>
    <t>ФСБЦ-2022 доп.8, 07.2.06.05-0001, приказ Минстроя России от 14.11.2023 г. № 817/пр</t>
  </si>
  <si>
    <t>ФСБЦ-2022 доп.8, 07.2.06.05-0017, приказ Минстроя России от 14.11.2023 г. № 817/пр</t>
  </si>
  <si>
    <t>ФСБЦ-2022, 14.4.01.02-0012, приказ Минстроя России от 18.05.2022 г. № 378/пр</t>
  </si>
  <si>
    <t>ФСБЦ-2022, 14.5.11.03-0001, приказ Минстроя России от 18.05.2022 г. № 378/пр</t>
  </si>
  <si>
    <t>ФСБЦ-2022, 14.5.11.03-0004, приказ Минстроя России от 18.05.2022 г. № 378/пр</t>
  </si>
  <si>
    <t>ФСБЦ-2022, 01.7.07.29-0111, приказ Минстроя России от 18.05.2022 г. № 378/пр</t>
  </si>
  <si>
    <t>ФСБЦ-2022, 04.3.01.07-0025, приказ Минстроя России от 18.05.2022 г. № 378/пр</t>
  </si>
  <si>
    <t>ФСЭМ-2022, 91.06.06-046, приказ Минстроя России от 18.05.2022 г. № 378/пр</t>
  </si>
  <si>
    <t>ФСБЦ-2022, 01.7.17.11-0011, приказ Минстроя России от 18.05.2022 г. № 378/пр</t>
  </si>
  <si>
    <t>ФСБЦ-2022, 14.5.11.02-0101, приказ Минстроя России от 18.05.2022 г. № 378/пр</t>
  </si>
  <si>
    <t>ФСБЦ-2022, 01.1.02.08-0001, приказ Минстроя России от 18.05.2022 г. № 378/пр</t>
  </si>
  <si>
    <t>ФСБЦ-2022 доп.8, 01.7.20.03-0003, приказ Минстроя России от 14.11.2023 г. № 817/пр</t>
  </si>
  <si>
    <t>18.1.02.01</t>
  </si>
  <si>
    <t>Задвижки</t>
  </si>
  <si>
    <t>18.1.09.06</t>
  </si>
  <si>
    <t>Арматура трубопроводная муфтовая</t>
  </si>
  <si>
    <t>18.2.07.01</t>
  </si>
  <si>
    <t>Трубопроводы с гильзами</t>
  </si>
  <si>
    <t>23.1.02.07</t>
  </si>
  <si>
    <t>Крепления</t>
  </si>
  <si>
    <t>14.4.02.04</t>
  </si>
  <si>
    <t>Краски для внутренних работ масляные готовые к применению</t>
  </si>
  <si>
    <t>12.2.08.03</t>
  </si>
  <si>
    <t>Цилиндры и полуцилиндры теплоизоляционные из минваты на синтетическом связующем</t>
  </si>
  <si>
    <t>01.6.01.02</t>
  </si>
  <si>
    <t>Листы гипсокартонные</t>
  </si>
  <si>
    <t>07.2.06.04</t>
  </si>
  <si>
    <t>Тяга подвесов</t>
  </si>
  <si>
    <t>14.3.02.01</t>
  </si>
  <si>
    <t>Краска акриловая</t>
  </si>
  <si>
    <t>14.4.01.02</t>
  </si>
  <si>
    <t>Грунтовка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</si>
  <si>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</si>
  <si>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Методика 421/пр (О.П.)</t>
  </si>
  <si>
    <t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</si>
</sst>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#\ ##0.00;[Red]\-\ #\ ##0.00"/>
    <numFmt numFmtId="166" formatCode="#\ ##0.00#####;[Red]\-\ #\ ##0.00#####"/>
    <numFmt numFmtId="167" formatCode="0.0000"/>
  </numFmts>
  <fonts count="30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7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b/>
      <sz val="10"/>
      <color indexed="16"/>
      <name val="Arial"/>
      <charset val="204"/>
    </font>
    <font>
      <sz val="9"/>
      <name val="Arial"/>
      <charset val="204"/>
    </font>
    <font>
      <sz val="10"/>
      <color rgb="FF000000"/>
      <name val="Arial Cyr"/>
      <charset val="204"/>
    </font>
    <font>
      <b/>
      <sz val="13"/>
      <color rgb="FF000000"/>
      <name val="Arial"/>
      <charset val="204"/>
    </font>
    <font>
      <b/>
      <sz val="12"/>
      <color rgb="FF000000"/>
      <name val="Arial"/>
      <charset val="204"/>
    </font>
    <font>
      <sz val="11"/>
      <color rgb="FF000000"/>
      <name val="Arial"/>
      <charset val="204"/>
    </font>
    <font>
      <sz val="10"/>
      <color rgb="FF000000"/>
      <name val="Arial"/>
      <charset val="204"/>
    </font>
    <font>
      <i/>
      <sz val="9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b/>
      <sz val="11"/>
      <name val="Arial"/>
      <charset val="204"/>
    </font>
    <font>
      <i/>
      <sz val="10"/>
      <name val="Arial"/>
      <charset val="204"/>
    </font>
    <font>
      <b/>
      <sz val="10"/>
      <name val="Arial"/>
      <charset val="204"/>
    </font>
    <font>
      <sz val="9"/>
      <color rgb="FF000000"/>
      <name val="Arial"/>
      <charset val="204"/>
    </font>
    <font>
      <b/>
      <sz val="12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3" fillId="0" borderId="0" xfId="0" applyNumberFormat="1" applyFont="1" applyAlignment="1">
      <alignment vertical="top" wrapText="1"/>
    </xf>
    <xf numFmtId="0" fontId="13" fillId="0" borderId="2" xfId="0" applyNumberFormat="1" applyFont="1" applyBorder="1" applyAlignment="1">
      <alignment vertical="top"/>
    </xf>
    <xf numFmtId="0" fontId="13" fillId="0" borderId="2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/>
    <xf numFmtId="0" fontId="11" fillId="0" borderId="1" xfId="0" applyNumberFormat="1" applyFont="1" applyBorder="1" applyAlignment="1">
      <alignment horizontal="center" wrapText="1"/>
    </xf>
    <xf numFmtId="0" fontId="15" fillId="0" borderId="0" xfId="0" applyNumberFormat="1" applyFont="1" applyAlignment="1">
      <alignment vertical="center" wrapText="1"/>
    </xf>
    <xf numFmtId="0" fontId="15" fillId="0" borderId="0" xfId="0" applyNumberFormat="1" applyFont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13" fillId="0" borderId="0" xfId="0" applyNumberFormat="1" applyFont="1" applyAlignment="1"/>
    <xf numFmtId="0" fontId="13" fillId="0" borderId="1" xfId="0" applyNumberFormat="1" applyFont="1" applyBorder="1" applyAlignment="1">
      <alignment horizontal="center"/>
    </xf>
    <xf numFmtId="0" fontId="13" fillId="0" borderId="2" xfId="0" applyNumberFormat="1" applyFont="1" applyBorder="1" applyAlignment="1"/>
    <xf numFmtId="0" fontId="13" fillId="0" borderId="0" xfId="0" applyNumberFormat="1" applyFont="1" applyAlignment="1">
      <alignment horizontal="left" wrapText="1"/>
    </xf>
    <xf numFmtId="0" fontId="13" fillId="0" borderId="0" xfId="0" applyNumberFormat="1" applyFont="1" applyAlignment="1">
      <alignment wrapText="1"/>
    </xf>
    <xf numFmtId="0" fontId="17" fillId="0" borderId="0" xfId="0" applyNumberFormat="1" applyFont="1" applyAlignment="1"/>
    <xf numFmtId="164" fontId="12" fillId="0" borderId="0" xfId="0" applyNumberFormat="1" applyFont="1" applyAlignment="1"/>
    <xf numFmtId="165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165" fontId="9" fillId="0" borderId="0" xfId="0" applyNumberFormat="1" applyFont="1" applyAlignment="1"/>
    <xf numFmtId="0" fontId="18" fillId="0" borderId="0" xfId="0" applyNumberFormat="1" applyFont="1" applyAlignment="1"/>
    <xf numFmtId="165" fontId="13" fillId="0" borderId="0" xfId="0" applyNumberFormat="1" applyFont="1" applyAlignment="1"/>
    <xf numFmtId="166" fontId="9" fillId="0" borderId="0" xfId="0" applyNumberFormat="1" applyFont="1" applyAlignment="1"/>
    <xf numFmtId="167" fontId="13" fillId="0" borderId="0" xfId="0" applyNumberFormat="1" applyFont="1" applyAlignment="1">
      <alignment horizontal="right"/>
    </xf>
    <xf numFmtId="0" fontId="12" fillId="0" borderId="1" xfId="0" applyNumberFormat="1" applyFont="1" applyBorder="1" applyAlignment="1"/>
    <xf numFmtId="0" fontId="13" fillId="0" borderId="12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165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left" vertical="top"/>
    </xf>
    <xf numFmtId="166" fontId="21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16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165" fontId="23" fillId="0" borderId="2" xfId="0" applyNumberFormat="1" applyFont="1" applyBorder="1" applyAlignment="1">
      <alignment horizontal="right" vertical="top"/>
    </xf>
    <xf numFmtId="165" fontId="0" fillId="0" borderId="0" xfId="0" applyNumberFormat="1"/>
    <xf numFmtId="0" fontId="24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23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right" vertical="top"/>
    </xf>
    <xf numFmtId="0" fontId="9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 vertical="center"/>
    </xf>
    <xf numFmtId="0" fontId="12" fillId="0" borderId="1" xfId="0" applyNumberFormat="1" applyFont="1" applyBorder="1" applyAlignment="1">
      <alignment horizontal="left"/>
    </xf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right"/>
    </xf>
    <xf numFmtId="0" fontId="21" fillId="0" borderId="0" xfId="0" quotePrefix="1" applyFont="1" applyAlignment="1">
      <alignment horizontal="left" vertical="top" wrapText="1"/>
    </xf>
    <xf numFmtId="0" fontId="21" fillId="0" borderId="1" xfId="0" quotePrefix="1" applyFont="1" applyBorder="1" applyAlignment="1">
      <alignment horizontal="left" vertical="top" wrapText="1"/>
    </xf>
    <xf numFmtId="0" fontId="24" fillId="0" borderId="0" xfId="0" quotePrefix="1" applyFont="1" applyAlignment="1">
      <alignment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right" vertical="top" wrapText="1"/>
    </xf>
    <xf numFmtId="166" fontId="28" fillId="0" borderId="0" xfId="0" applyNumberFormat="1" applyFont="1" applyAlignment="1">
      <alignment horizontal="right" vertical="top"/>
    </xf>
    <xf numFmtId="0" fontId="29" fillId="0" borderId="0" xfId="0" applyFont="1"/>
    <xf numFmtId="4" fontId="28" fillId="0" borderId="0" xfId="0" applyNumberFormat="1" applyFont="1" applyAlignment="1">
      <alignment vertical="top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6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165" fontId="23" fillId="0" borderId="0" xfId="0" applyNumberFormat="1" applyFont="1" applyAlignment="1">
      <alignment horizontal="left" vertical="top"/>
    </xf>
    <xf numFmtId="165" fontId="23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7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165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704"/>
  <sheetViews>
    <sheetView tabSelected="1" topLeftCell="A692" workbookViewId="0">
      <selection activeCell="C47" sqref="C47"/>
    </sheetView>
  </sheetViews>
  <sheetFormatPr defaultColWidth="9" defaultRowHeight="13.2" x14ac:dyDescent="0.25"/>
  <cols>
    <col min="1" max="1" width="5.77734375" customWidth="1"/>
    <col min="2" max="2" width="20.77734375" customWidth="1"/>
    <col min="3" max="3" width="40.77734375" customWidth="1"/>
    <col min="4" max="4" width="10.77734375" customWidth="1"/>
    <col min="5" max="12" width="15.77734375" customWidth="1"/>
    <col min="15" max="91" width="9" hidden="1" customWidth="1"/>
    <col min="92" max="92" width="198.77734375" hidden="1" customWidth="1"/>
    <col min="93" max="93" width="108.77734375" hidden="1" customWidth="1"/>
    <col min="94" max="100" width="9" hidden="1" customWidth="1"/>
    <col min="101" max="101" width="173.77734375" hidden="1" customWidth="1"/>
  </cols>
  <sheetData>
    <row r="1" spans="1:93" x14ac:dyDescent="0.25">
      <c r="A1" s="8" t="str">
        <f>Source!B1</f>
        <v>Smeta.RU  (495) 974-1589</v>
      </c>
    </row>
    <row r="2" spans="1:93" ht="13.2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93" ht="16.8" customHeight="1" x14ac:dyDescent="0.3">
      <c r="A3" s="10"/>
      <c r="B3" s="116" t="s">
        <v>0</v>
      </c>
      <c r="C3" s="116"/>
      <c r="D3" s="116"/>
      <c r="E3" s="116"/>
      <c r="F3" s="11"/>
      <c r="G3" s="11"/>
      <c r="H3" s="116" t="s">
        <v>1</v>
      </c>
      <c r="I3" s="116"/>
      <c r="J3" s="116"/>
      <c r="K3" s="116"/>
      <c r="L3" s="116"/>
    </row>
    <row r="4" spans="1:93" ht="13.8" customHeight="1" x14ac:dyDescent="0.25">
      <c r="A4" s="11"/>
      <c r="B4" s="117"/>
      <c r="C4" s="117"/>
      <c r="D4" s="117"/>
      <c r="E4" s="117"/>
      <c r="F4" s="11"/>
      <c r="G4" s="11"/>
      <c r="H4" s="117"/>
      <c r="I4" s="117"/>
      <c r="J4" s="117"/>
      <c r="K4" s="117"/>
      <c r="L4" s="117"/>
    </row>
    <row r="5" spans="1:93" ht="13.8" customHeight="1" x14ac:dyDescent="0.25">
      <c r="A5" s="11"/>
      <c r="B5" s="11"/>
      <c r="C5" s="12"/>
      <c r="D5" s="12"/>
      <c r="E5" s="12"/>
      <c r="F5" s="11"/>
      <c r="G5" s="11"/>
      <c r="H5" s="12"/>
      <c r="I5" s="12"/>
      <c r="J5" s="12"/>
      <c r="K5" s="12"/>
      <c r="L5" s="12"/>
    </row>
    <row r="6" spans="1:93" ht="13.8" customHeight="1" x14ac:dyDescent="0.25">
      <c r="A6" s="12"/>
      <c r="B6" s="117" t="str">
        <f>CONCATENATE("______________________ ",IF(Source!AL12&lt;&gt;"",Source!AL12,""))</f>
        <v xml:space="preserve">______________________ </v>
      </c>
      <c r="C6" s="117"/>
      <c r="D6" s="117"/>
      <c r="E6" s="117"/>
      <c r="F6" s="11"/>
      <c r="G6" s="11"/>
      <c r="H6" s="117" t="str">
        <f>CONCATENATE("______________________ ",IF(Source!AH12&lt;&gt;"",Source!AH12,""))</f>
        <v xml:space="preserve">______________________ </v>
      </c>
      <c r="I6" s="117"/>
      <c r="J6" s="117"/>
      <c r="K6" s="117"/>
      <c r="L6" s="117"/>
    </row>
    <row r="7" spans="1:93" ht="14.25" customHeight="1" x14ac:dyDescent="0.25">
      <c r="A7" s="13"/>
      <c r="B7" s="118" t="s">
        <v>2</v>
      </c>
      <c r="C7" s="118"/>
      <c r="D7" s="118"/>
      <c r="E7" s="118"/>
      <c r="F7" s="11"/>
      <c r="G7" s="11"/>
      <c r="H7" s="118" t="s">
        <v>2</v>
      </c>
      <c r="I7" s="118"/>
      <c r="J7" s="118"/>
      <c r="K7" s="118"/>
      <c r="L7" s="118"/>
    </row>
    <row r="10" spans="1:93" ht="12.75" customHeight="1" x14ac:dyDescent="0.25">
      <c r="A10" s="112" t="s">
        <v>3</v>
      </c>
      <c r="B10" s="112"/>
      <c r="C10" s="112"/>
      <c r="D10" s="112"/>
      <c r="E10" s="112"/>
      <c r="F10" s="113" t="s">
        <v>4</v>
      </c>
      <c r="G10" s="113"/>
      <c r="H10" s="113"/>
      <c r="I10" s="113"/>
      <c r="J10" s="113"/>
      <c r="K10" s="113"/>
      <c r="L10" s="113"/>
    </row>
    <row r="11" spans="1:93" ht="13.2" customHeight="1" x14ac:dyDescent="0.25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</row>
    <row r="12" spans="1:93" ht="26.4" x14ac:dyDescent="0.25">
      <c r="A12" s="112" t="s">
        <v>5</v>
      </c>
      <c r="B12" s="112"/>
      <c r="C12" s="112"/>
      <c r="D12" s="112"/>
      <c r="E12" s="112"/>
      <c r="F12" s="113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13"/>
      <c r="H12" s="113"/>
      <c r="I12" s="113"/>
      <c r="J12" s="113"/>
      <c r="K12" s="113"/>
      <c r="L12" s="113"/>
      <c r="CO12" s="15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3.2" customHeight="1" x14ac:dyDescent="0.25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93" ht="145.19999999999999" x14ac:dyDescent="0.25">
      <c r="A14" s="112" t="s">
        <v>6</v>
      </c>
      <c r="B14" s="112"/>
      <c r="C14" s="112"/>
      <c r="D14" s="112"/>
      <c r="E14" s="112"/>
      <c r="F14" s="113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13"/>
      <c r="H14" s="113"/>
      <c r="I14" s="113"/>
      <c r="J14" s="113"/>
      <c r="K14" s="113"/>
      <c r="L14" s="113"/>
      <c r="CO14" s="15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3.2" customHeight="1" x14ac:dyDescent="0.25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93" ht="76.5" customHeight="1" x14ac:dyDescent="0.25">
      <c r="A16" s="112" t="s">
        <v>7</v>
      </c>
      <c r="B16" s="112"/>
      <c r="C16" s="112"/>
      <c r="D16" s="112"/>
      <c r="E16" s="112"/>
      <c r="F16" s="113" t="s">
        <v>8</v>
      </c>
      <c r="G16" s="113"/>
      <c r="H16" s="113"/>
      <c r="I16" s="113"/>
      <c r="J16" s="113"/>
      <c r="K16" s="113"/>
      <c r="L16" s="113"/>
    </row>
    <row r="17" spans="1:92" ht="13.2" customHeight="1" x14ac:dyDescent="0.25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92" ht="38.25" customHeight="1" x14ac:dyDescent="0.25">
      <c r="A18" s="112" t="s">
        <v>9</v>
      </c>
      <c r="B18" s="112"/>
      <c r="C18" s="112"/>
      <c r="D18" s="112"/>
      <c r="E18" s="112"/>
      <c r="F18" s="113" t="s">
        <v>10</v>
      </c>
      <c r="G18" s="113"/>
      <c r="H18" s="113"/>
      <c r="I18" s="113"/>
      <c r="J18" s="113"/>
      <c r="K18" s="113"/>
      <c r="L18" s="113"/>
    </row>
    <row r="19" spans="1:92" ht="13.2" customHeight="1" x14ac:dyDescent="0.25">
      <c r="A19" s="14"/>
      <c r="B19" s="14"/>
      <c r="C19" s="14"/>
      <c r="D19" s="14"/>
      <c r="E19" s="14"/>
      <c r="F19" s="18"/>
      <c r="G19" s="18"/>
      <c r="H19" s="18"/>
      <c r="I19" s="18"/>
      <c r="J19" s="18"/>
      <c r="K19" s="18"/>
      <c r="L19" s="18"/>
    </row>
    <row r="20" spans="1:92" ht="13.2" customHeight="1" x14ac:dyDescent="0.25">
      <c r="A20" s="112" t="s">
        <v>11</v>
      </c>
      <c r="B20" s="112"/>
      <c r="C20" s="112"/>
      <c r="D20" s="112"/>
      <c r="E20" s="112"/>
      <c r="F20" s="113" t="s">
        <v>12</v>
      </c>
      <c r="G20" s="113"/>
      <c r="H20" s="113"/>
      <c r="I20" s="113"/>
      <c r="J20" s="113"/>
      <c r="K20" s="113"/>
      <c r="L20" s="113"/>
    </row>
    <row r="21" spans="1:92" ht="12.75" customHeight="1" x14ac:dyDescent="0.25">
      <c r="A21" s="14"/>
      <c r="B21" s="14"/>
      <c r="C21" s="14"/>
      <c r="D21" s="14"/>
      <c r="E21" s="14"/>
      <c r="F21" s="18"/>
      <c r="G21" s="18"/>
      <c r="H21" s="18"/>
      <c r="I21" s="18"/>
      <c r="J21" s="18"/>
      <c r="K21" s="18"/>
      <c r="L21" s="18"/>
    </row>
    <row r="22" spans="1:92" ht="12.75" customHeight="1" x14ac:dyDescent="0.25">
      <c r="A22" s="112" t="s">
        <v>13</v>
      </c>
      <c r="B22" s="112"/>
      <c r="C22" s="112"/>
      <c r="D22" s="112"/>
      <c r="E22" s="112"/>
      <c r="F22" s="113" t="str">
        <f>IF(Source!CZ12&lt;&gt;"",Source!CZ12,"")</f>
        <v/>
      </c>
      <c r="G22" s="113"/>
      <c r="H22" s="113"/>
      <c r="I22" s="113"/>
      <c r="J22" s="113"/>
      <c r="K22" s="113"/>
      <c r="L22" s="113"/>
    </row>
    <row r="23" spans="1:92" ht="12.75" customHeight="1" x14ac:dyDescent="0.25">
      <c r="A23" s="14"/>
      <c r="B23" s="14"/>
      <c r="C23" s="14"/>
      <c r="D23" s="14"/>
      <c r="E23" s="14"/>
      <c r="F23" s="18"/>
      <c r="G23" s="18"/>
      <c r="H23" s="18"/>
      <c r="I23" s="18"/>
      <c r="J23" s="18"/>
      <c r="K23" s="18"/>
      <c r="L23" s="17"/>
    </row>
    <row r="24" spans="1:92" ht="12.75" customHeight="1" x14ac:dyDescent="0.25">
      <c r="A24" s="112" t="s">
        <v>14</v>
      </c>
      <c r="B24" s="112"/>
      <c r="C24" s="112"/>
      <c r="D24" s="112"/>
      <c r="E24" s="112"/>
      <c r="F24" s="113" t="str">
        <f>IF(Source!DA12&lt;&gt;"",Source!DA12,"")</f>
        <v/>
      </c>
      <c r="G24" s="113"/>
      <c r="H24" s="113"/>
      <c r="I24" s="113"/>
      <c r="J24" s="113"/>
      <c r="K24" s="113"/>
      <c r="L24" s="113"/>
    </row>
    <row r="25" spans="1:92" ht="12.75" customHeight="1" x14ac:dyDescent="0.25">
      <c r="A25" s="9"/>
      <c r="B25" s="9"/>
      <c r="C25" s="9"/>
      <c r="D25" s="9"/>
      <c r="E25" s="9"/>
      <c r="F25" s="19"/>
      <c r="G25" s="19"/>
      <c r="H25" s="19"/>
      <c r="I25" s="19"/>
      <c r="J25" s="19"/>
      <c r="K25" s="19"/>
      <c r="L25" s="19"/>
    </row>
    <row r="26" spans="1:92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92" ht="15.75" customHeight="1" x14ac:dyDescent="0.3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92" ht="14.25" customHeight="1" x14ac:dyDescent="0.25">
      <c r="A28" s="108" t="s">
        <v>15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  <row r="29" spans="1:92" ht="13.8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92" ht="36.6" customHeight="1" x14ac:dyDescent="0.3">
      <c r="A30" s="114" t="str">
        <f>IF(Source!G12&lt;&gt;"Новый объект",Source!G12,"")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CN30" s="20" t="str">
        <f>IF(Source!G12&lt;&gt;"Новый объект",Source!G12,"")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</row>
    <row r="31" spans="1:92" ht="14.25" customHeight="1" x14ac:dyDescent="0.25">
      <c r="A31" s="108" t="s">
        <v>16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92" ht="14.25" customHeight="1" x14ac:dyDescent="0.25">
      <c r="A32" s="11"/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</row>
    <row r="33" spans="1:92" ht="15.75" customHeight="1" x14ac:dyDescent="0.3">
      <c r="A33" s="115" t="str">
        <f>CONCATENATE("ЛОКАЛЬНАЯ СМЕТА № 02-01-01 ",Source!F20," ",Source!CM20)</f>
        <v xml:space="preserve">ЛОКАЛЬНАЯ СМЕТА № 02-01-01  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1:92" ht="13.8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1"/>
    </row>
    <row r="35" spans="1:92" ht="34.799999999999997" x14ac:dyDescent="0.3">
      <c r="A35" s="107" t="str">
        <f>IF(Source!G20&lt;&gt;"Новая локальная смета",Source!G20,"")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CN35" s="23" t="str">
        <f>IF(Source!G20&lt;&gt;"Новая локальная смета",Source!G20,"")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</row>
    <row r="36" spans="1:92" ht="14.25" customHeight="1" x14ac:dyDescent="0.25">
      <c r="A36" s="108" t="s">
        <v>17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92" ht="13.8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92" ht="13.8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92" ht="13.2" customHeight="1" x14ac:dyDescent="0.25">
      <c r="A39" s="24" t="s">
        <v>18</v>
      </c>
      <c r="B39" s="24"/>
      <c r="C39" s="25" t="s">
        <v>19</v>
      </c>
      <c r="D39" s="24" t="s">
        <v>20</v>
      </c>
      <c r="E39" s="24"/>
      <c r="F39" s="24"/>
      <c r="G39" s="24"/>
      <c r="H39" s="24"/>
      <c r="I39" s="24"/>
      <c r="J39" s="24"/>
      <c r="K39" s="24"/>
      <c r="L39" s="24"/>
    </row>
    <row r="40" spans="1:92" ht="13.2" customHeight="1" x14ac:dyDescent="0.25">
      <c r="A40" s="24"/>
      <c r="B40" s="24"/>
      <c r="C40" s="26"/>
      <c r="D40" s="24"/>
      <c r="E40" s="24"/>
      <c r="F40" s="24"/>
      <c r="G40" s="24"/>
      <c r="H40" s="24"/>
      <c r="I40" s="24"/>
      <c r="J40" s="24"/>
      <c r="K40" s="24"/>
      <c r="L40" s="24"/>
    </row>
    <row r="41" spans="1:92" ht="13.2" customHeight="1" x14ac:dyDescent="0.25">
      <c r="A41" s="24" t="s">
        <v>21</v>
      </c>
      <c r="B41" s="24"/>
      <c r="C41" s="109"/>
      <c r="D41" s="109"/>
      <c r="E41" s="109"/>
      <c r="F41" s="109"/>
      <c r="G41" s="109"/>
      <c r="H41" s="109"/>
      <c r="I41" s="109"/>
      <c r="J41" s="109"/>
      <c r="K41" s="109"/>
      <c r="L41" s="109"/>
    </row>
    <row r="42" spans="1:92" ht="12.75" customHeight="1" x14ac:dyDescent="0.25">
      <c r="A42" s="27"/>
      <c r="B42" s="28"/>
      <c r="C42" s="108" t="s">
        <v>22</v>
      </c>
      <c r="D42" s="108"/>
      <c r="E42" s="108"/>
      <c r="F42" s="108"/>
      <c r="G42" s="108"/>
      <c r="H42" s="108"/>
      <c r="I42" s="108"/>
      <c r="J42" s="108"/>
      <c r="K42" s="108"/>
      <c r="L42" s="108"/>
    </row>
    <row r="43" spans="1:92" ht="13.8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92" ht="13.8" customHeight="1" x14ac:dyDescent="0.25">
      <c r="A44" s="29" t="s">
        <v>23</v>
      </c>
      <c r="B44" s="11"/>
      <c r="C44" s="11"/>
      <c r="D44" s="30"/>
      <c r="E44" s="11"/>
      <c r="F44" s="11"/>
      <c r="G44" s="11"/>
      <c r="H44" s="11"/>
      <c r="I44" s="11"/>
      <c r="J44" s="11"/>
      <c r="K44" s="11"/>
      <c r="L44" s="11"/>
    </row>
    <row r="45" spans="1:92" ht="13.8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92" ht="13.8" customHeight="1" x14ac:dyDescent="0.25">
      <c r="A46" s="29" t="s">
        <v>24</v>
      </c>
      <c r="B46" s="11"/>
      <c r="C46" s="110">
        <f>L696/1000</f>
        <v>138.70524039999998</v>
      </c>
      <c r="D46" s="111"/>
      <c r="E46" s="24" t="s">
        <v>25</v>
      </c>
      <c r="F46" s="9"/>
      <c r="G46" s="9"/>
      <c r="H46" s="9"/>
      <c r="I46" s="9"/>
      <c r="J46" s="9"/>
      <c r="K46" s="9"/>
      <c r="L46" s="11"/>
    </row>
    <row r="47" spans="1:92" ht="13.8" customHeight="1" x14ac:dyDescent="0.25">
      <c r="A47" s="29"/>
      <c r="B47" s="11"/>
      <c r="C47" s="31"/>
      <c r="D47" s="32"/>
      <c r="E47" s="24"/>
      <c r="F47" s="9"/>
      <c r="G47" s="24" t="s">
        <v>26</v>
      </c>
      <c r="H47" s="11"/>
      <c r="I47" s="24"/>
      <c r="J47" s="24"/>
      <c r="K47" s="33">
        <f>ROUND(SUM(AR60:AR697)/1000,2)</f>
        <v>25.82</v>
      </c>
      <c r="L47" s="24" t="s">
        <v>25</v>
      </c>
    </row>
    <row r="48" spans="1:92" ht="13.8" customHeight="1" x14ac:dyDescent="0.25">
      <c r="A48" s="11"/>
      <c r="B48" s="34" t="s">
        <v>27</v>
      </c>
      <c r="C48" s="35"/>
      <c r="D48" s="11"/>
      <c r="E48" s="24"/>
      <c r="F48" s="9"/>
      <c r="G48" s="24" t="s">
        <v>28</v>
      </c>
      <c r="H48" s="11"/>
      <c r="I48" s="24"/>
      <c r="J48" s="24"/>
      <c r="K48" s="33">
        <f>ROUND(SUM(AT60:AT697)/1000,2)</f>
        <v>0.15</v>
      </c>
      <c r="L48" s="24" t="s">
        <v>25</v>
      </c>
    </row>
    <row r="49" spans="1:12" ht="13.8" customHeight="1" x14ac:dyDescent="0.25">
      <c r="A49" s="11"/>
      <c r="B49" s="29" t="s">
        <v>29</v>
      </c>
      <c r="C49" s="110">
        <f>ROUND((Source!F224)/1000,2)</f>
        <v>113.69</v>
      </c>
      <c r="D49" s="111"/>
      <c r="E49" s="24" t="s">
        <v>25</v>
      </c>
      <c r="F49" s="9"/>
      <c r="G49" s="24" t="s">
        <v>30</v>
      </c>
      <c r="H49" s="11"/>
      <c r="I49" s="24"/>
      <c r="J49" s="32"/>
      <c r="K49" s="36">
        <f>Source!F229</f>
        <v>37.318728100000001</v>
      </c>
      <c r="L49" s="24" t="s">
        <v>31</v>
      </c>
    </row>
    <row r="50" spans="1:12" ht="13.8" customHeight="1" x14ac:dyDescent="0.25">
      <c r="A50" s="11"/>
      <c r="B50" s="29" t="s">
        <v>32</v>
      </c>
      <c r="C50" s="110">
        <f>ROUND((Source!F225)/1000,2)</f>
        <v>0</v>
      </c>
      <c r="D50" s="111"/>
      <c r="E50" s="24" t="s">
        <v>25</v>
      </c>
      <c r="F50" s="9"/>
      <c r="G50" s="24" t="s">
        <v>33</v>
      </c>
      <c r="H50" s="11"/>
      <c r="I50" s="24"/>
      <c r="J50" s="37"/>
      <c r="K50" s="36">
        <f>Source!F230</f>
        <v>0.2046172</v>
      </c>
      <c r="L50" s="24" t="s">
        <v>31</v>
      </c>
    </row>
    <row r="51" spans="1:12" ht="13.8" customHeight="1" x14ac:dyDescent="0.25">
      <c r="A51" s="11"/>
      <c r="B51" s="29" t="s">
        <v>34</v>
      </c>
      <c r="C51" s="110">
        <f>ROUND((Source!F216)/1000,2)</f>
        <v>0</v>
      </c>
      <c r="D51" s="111"/>
      <c r="E51" s="24" t="s">
        <v>25</v>
      </c>
      <c r="F51" s="9"/>
      <c r="G51" s="24"/>
      <c r="H51" s="24"/>
      <c r="I51" s="24"/>
      <c r="J51" s="24"/>
      <c r="K51" s="9"/>
      <c r="L51" s="24"/>
    </row>
    <row r="52" spans="1:12" ht="13.8" customHeight="1" x14ac:dyDescent="0.25">
      <c r="A52" s="11"/>
      <c r="B52" s="29" t="s">
        <v>35</v>
      </c>
      <c r="C52" s="110">
        <f>ROUND((Source!F226)/1000,2)</f>
        <v>0</v>
      </c>
      <c r="D52" s="111"/>
      <c r="E52" s="24" t="s">
        <v>25</v>
      </c>
      <c r="F52" s="9"/>
      <c r="G52" s="24"/>
      <c r="H52" s="24"/>
      <c r="I52" s="24"/>
      <c r="J52" s="24"/>
      <c r="K52" s="9"/>
      <c r="L52" s="24"/>
    </row>
    <row r="53" spans="1:12" ht="13.8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3.2" customHeight="1" x14ac:dyDescent="0.25">
      <c r="A54" s="85" t="s">
        <v>36</v>
      </c>
      <c r="B54" s="85" t="s">
        <v>37</v>
      </c>
      <c r="C54" s="85" t="s">
        <v>38</v>
      </c>
      <c r="D54" s="85" t="s">
        <v>39</v>
      </c>
      <c r="E54" s="88" t="s">
        <v>40</v>
      </c>
      <c r="F54" s="89"/>
      <c r="G54" s="90"/>
      <c r="H54" s="88" t="s">
        <v>41</v>
      </c>
      <c r="I54" s="89"/>
      <c r="J54" s="89"/>
      <c r="K54" s="89"/>
      <c r="L54" s="90"/>
    </row>
    <row r="55" spans="1:12" ht="13.2" customHeight="1" x14ac:dyDescent="0.25">
      <c r="A55" s="86"/>
      <c r="B55" s="86"/>
      <c r="C55" s="86"/>
      <c r="D55" s="86"/>
      <c r="E55" s="91"/>
      <c r="F55" s="92"/>
      <c r="G55" s="93"/>
      <c r="H55" s="91"/>
      <c r="I55" s="92"/>
      <c r="J55" s="92"/>
      <c r="K55" s="92"/>
      <c r="L55" s="93"/>
    </row>
    <row r="56" spans="1:12" ht="13.2" customHeight="1" x14ac:dyDescent="0.25">
      <c r="A56" s="86"/>
      <c r="B56" s="86"/>
      <c r="C56" s="86"/>
      <c r="D56" s="86"/>
      <c r="E56" s="91"/>
      <c r="F56" s="92"/>
      <c r="G56" s="93"/>
      <c r="H56" s="91"/>
      <c r="I56" s="92"/>
      <c r="J56" s="92"/>
      <c r="K56" s="92"/>
      <c r="L56" s="93"/>
    </row>
    <row r="57" spans="1:12" ht="13.2" customHeight="1" x14ac:dyDescent="0.25">
      <c r="A57" s="86"/>
      <c r="B57" s="86"/>
      <c r="C57" s="86"/>
      <c r="D57" s="86"/>
      <c r="E57" s="94"/>
      <c r="F57" s="95"/>
      <c r="G57" s="96"/>
      <c r="H57" s="94"/>
      <c r="I57" s="95"/>
      <c r="J57" s="95"/>
      <c r="K57" s="95"/>
      <c r="L57" s="96"/>
    </row>
    <row r="58" spans="1:12" ht="52.8" customHeight="1" x14ac:dyDescent="0.25">
      <c r="A58" s="87"/>
      <c r="B58" s="87"/>
      <c r="C58" s="87"/>
      <c r="D58" s="87"/>
      <c r="E58" s="39" t="s">
        <v>42</v>
      </c>
      <c r="F58" s="39" t="s">
        <v>43</v>
      </c>
      <c r="G58" s="40" t="s">
        <v>44</v>
      </c>
      <c r="H58" s="39" t="s">
        <v>45</v>
      </c>
      <c r="I58" s="39" t="s">
        <v>46</v>
      </c>
      <c r="J58" s="39" t="s">
        <v>47</v>
      </c>
      <c r="K58" s="39" t="s">
        <v>43</v>
      </c>
      <c r="L58" s="39" t="s">
        <v>48</v>
      </c>
    </row>
    <row r="59" spans="1:12" ht="13.8" customHeight="1" x14ac:dyDescent="0.25">
      <c r="A59" s="41">
        <v>1</v>
      </c>
      <c r="B59" s="41">
        <v>2</v>
      </c>
      <c r="C59" s="41">
        <v>3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2">
        <v>11</v>
      </c>
      <c r="L59" s="42">
        <v>12</v>
      </c>
    </row>
    <row r="61" spans="1:12" ht="16.8" x14ac:dyDescent="0.25">
      <c r="A61" s="105" t="s">
        <v>49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spans="1:12" ht="41.4" x14ac:dyDescent="0.25">
      <c r="A62" s="75" t="s">
        <v>50</v>
      </c>
      <c r="B62" s="43" t="s">
        <v>51</v>
      </c>
      <c r="C62" s="43" t="str">
        <f>Source!G28</f>
        <v>Замена элементов облицовки потолков: реечных без замены каркаса/Демонтаж и монтаж ранее демонтируемого потолка</v>
      </c>
      <c r="D62" s="44" t="str">
        <f>Source!H28</f>
        <v>100 м2</v>
      </c>
      <c r="E62" s="45">
        <f>Source!K28</f>
        <v>0.02</v>
      </c>
      <c r="F62" s="45"/>
      <c r="G62" s="45">
        <f>Source!I28</f>
        <v>0.02</v>
      </c>
      <c r="H62" s="46"/>
      <c r="I62" s="47"/>
      <c r="J62" s="46"/>
      <c r="K62" s="47"/>
      <c r="L62" s="46"/>
    </row>
    <row r="63" spans="1:12" x14ac:dyDescent="0.25">
      <c r="C63" s="48" t="str">
        <f>"Объем: "&amp;Source!I28&amp;"=2/"&amp;"100"</f>
        <v>Объем: 0,02=2/100</v>
      </c>
    </row>
    <row r="64" spans="1:12" ht="14.4" x14ac:dyDescent="0.25">
      <c r="A64" s="49"/>
      <c r="B64" s="45">
        <v>1</v>
      </c>
      <c r="C64" s="49" t="s">
        <v>52</v>
      </c>
      <c r="D64" s="44" t="s">
        <v>31</v>
      </c>
      <c r="E64" s="50"/>
      <c r="F64" s="45"/>
      <c r="G64" s="45">
        <f>Source!U28</f>
        <v>1.3855999999999999</v>
      </c>
      <c r="H64" s="45"/>
      <c r="I64" s="45"/>
      <c r="J64" s="45"/>
      <c r="K64" s="45"/>
      <c r="L64" s="51">
        <f>SUM(L65:L65)-SUMIF(CE65:CE65,1,L65:L65)</f>
        <v>944.47</v>
      </c>
    </row>
    <row r="65" spans="1:83" ht="14.4" x14ac:dyDescent="0.25">
      <c r="A65" s="43"/>
      <c r="B65" s="43" t="s">
        <v>53</v>
      </c>
      <c r="C65" s="43" t="s">
        <v>54</v>
      </c>
      <c r="D65" s="44" t="s">
        <v>31</v>
      </c>
      <c r="E65" s="45">
        <v>69.28</v>
      </c>
      <c r="F65" s="45"/>
      <c r="G65" s="45">
        <f>SmtRes!CX1</f>
        <v>1.3855999999999999</v>
      </c>
      <c r="H65" s="46"/>
      <c r="I65" s="47"/>
      <c r="J65" s="46">
        <f>SmtRes!CZ1</f>
        <v>681.63</v>
      </c>
      <c r="K65" s="47"/>
      <c r="L65" s="46">
        <f>SmtRes!DI1</f>
        <v>944.47</v>
      </c>
    </row>
    <row r="66" spans="1:83" ht="14.4" x14ac:dyDescent="0.25">
      <c r="A66" s="49"/>
      <c r="B66" s="45">
        <v>2</v>
      </c>
      <c r="C66" s="49" t="s">
        <v>55</v>
      </c>
      <c r="D66" s="44"/>
      <c r="E66" s="50"/>
      <c r="F66" s="45"/>
      <c r="G66" s="45"/>
      <c r="H66" s="45"/>
      <c r="I66" s="45"/>
      <c r="J66" s="45"/>
      <c r="K66" s="45"/>
      <c r="L66" s="51">
        <f>SUM(L67:L71)-SUMIF(CE67:CE71,1,L67:L71)</f>
        <v>5.0000000000000044E-2</v>
      </c>
    </row>
    <row r="67" spans="1:83" ht="14.4" x14ac:dyDescent="0.25">
      <c r="A67" s="49"/>
      <c r="B67" s="45"/>
      <c r="C67" s="49" t="s">
        <v>56</v>
      </c>
      <c r="D67" s="44" t="s">
        <v>31</v>
      </c>
      <c r="E67" s="50"/>
      <c r="F67" s="45"/>
      <c r="G67" s="45">
        <f>Source!V28</f>
        <v>4.4000000000000002E-4</v>
      </c>
      <c r="H67" s="45"/>
      <c r="I67" s="45"/>
      <c r="J67" s="45"/>
      <c r="K67" s="45"/>
      <c r="L67" s="51">
        <f>SUMIF(CE68:CE71,1,L68:L71)</f>
        <v>0.29000000000000004</v>
      </c>
      <c r="CE67">
        <v>1</v>
      </c>
    </row>
    <row r="68" spans="1:83" ht="41.4" x14ac:dyDescent="0.25">
      <c r="A68" s="43"/>
      <c r="B68" s="43" t="s">
        <v>57</v>
      </c>
      <c r="C68" s="43" t="s">
        <v>58</v>
      </c>
      <c r="D68" s="44" t="s">
        <v>59</v>
      </c>
      <c r="E68" s="45">
        <v>0.02</v>
      </c>
      <c r="F68" s="45"/>
      <c r="G68" s="45">
        <f>SmtRes!CX3</f>
        <v>4.0000000000000002E-4</v>
      </c>
      <c r="H68" s="46">
        <f>SmtRes!CZ3</f>
        <v>37.32</v>
      </c>
      <c r="I68" s="47">
        <f>SmtRes!AJ3</f>
        <v>1.54</v>
      </c>
      <c r="J68" s="46">
        <f>ROUND(H68*I68,2)</f>
        <v>57.47</v>
      </c>
      <c r="K68" s="47"/>
      <c r="L68" s="46">
        <f>SmtRes!DG3</f>
        <v>0.02</v>
      </c>
    </row>
    <row r="69" spans="1:83" ht="14.4" x14ac:dyDescent="0.25">
      <c r="A69" s="43"/>
      <c r="B69" s="43" t="s">
        <v>60</v>
      </c>
      <c r="C69" s="43" t="s">
        <v>61</v>
      </c>
      <c r="D69" s="44" t="s">
        <v>31</v>
      </c>
      <c r="E69" s="45">
        <f>SmtRes!DO3*SmtRes!AT3</f>
        <v>0.02</v>
      </c>
      <c r="F69" s="45"/>
      <c r="G69" s="45">
        <f>ROUND(E69*G62,7)</f>
        <v>4.0000000000000002E-4</v>
      </c>
      <c r="H69" s="46"/>
      <c r="I69" s="47"/>
      <c r="J69" s="46">
        <f>ROUND(SmtRes!AG3/SmtRes!DO3,2)</f>
        <v>641.22</v>
      </c>
      <c r="K69" s="47"/>
      <c r="L69" s="46">
        <f>SmtRes!DH3</f>
        <v>0.26</v>
      </c>
      <c r="CE69">
        <v>1</v>
      </c>
    </row>
    <row r="70" spans="1:83" ht="27.6" x14ac:dyDescent="0.25">
      <c r="A70" s="43"/>
      <c r="B70" s="43" t="s">
        <v>62</v>
      </c>
      <c r="C70" s="43" t="s">
        <v>63</v>
      </c>
      <c r="D70" s="44" t="s">
        <v>59</v>
      </c>
      <c r="E70" s="45">
        <v>2E-3</v>
      </c>
      <c r="F70" s="45"/>
      <c r="G70" s="45">
        <f>SmtRes!CX4</f>
        <v>4.0000000000000003E-5</v>
      </c>
      <c r="H70" s="46"/>
      <c r="I70" s="47"/>
      <c r="J70" s="46">
        <f>SmtRes!CZ4</f>
        <v>643.29</v>
      </c>
      <c r="K70" s="47"/>
      <c r="L70" s="46">
        <f>SmtRes!DG4</f>
        <v>0.03</v>
      </c>
    </row>
    <row r="71" spans="1:83" ht="14.4" x14ac:dyDescent="0.25">
      <c r="A71" s="43"/>
      <c r="B71" s="43" t="s">
        <v>64</v>
      </c>
      <c r="C71" s="43" t="s">
        <v>65</v>
      </c>
      <c r="D71" s="44" t="s">
        <v>31</v>
      </c>
      <c r="E71" s="45">
        <f>SmtRes!DO4*SmtRes!AT4</f>
        <v>2E-3</v>
      </c>
      <c r="F71" s="45"/>
      <c r="G71" s="45">
        <f>ROUND(E71*G62,7)</f>
        <v>4.0000000000000003E-5</v>
      </c>
      <c r="H71" s="46"/>
      <c r="I71" s="47"/>
      <c r="J71" s="46">
        <f>ROUND(SmtRes!AG4/SmtRes!DO4,2)</f>
        <v>722.05</v>
      </c>
      <c r="K71" s="47"/>
      <c r="L71" s="46">
        <f>SmtRes!DH4</f>
        <v>0.03</v>
      </c>
      <c r="CE71">
        <v>1</v>
      </c>
    </row>
    <row r="72" spans="1:83" ht="14.4" x14ac:dyDescent="0.25">
      <c r="A72" s="49"/>
      <c r="B72" s="45">
        <v>4</v>
      </c>
      <c r="C72" s="49" t="s">
        <v>66</v>
      </c>
      <c r="D72" s="44"/>
      <c r="E72" s="50"/>
      <c r="F72" s="45"/>
      <c r="G72" s="45"/>
      <c r="H72" s="45"/>
      <c r="I72" s="45"/>
      <c r="J72" s="45"/>
      <c r="K72" s="45"/>
      <c r="L72" s="51">
        <f>SUM(L73:L73)-SUMIF(CE73:CE73,1,L73:L73)</f>
        <v>2410.38</v>
      </c>
    </row>
    <row r="73" spans="1:83" ht="41.4" x14ac:dyDescent="0.25">
      <c r="A73" s="43"/>
      <c r="B73" s="43" t="s">
        <v>67</v>
      </c>
      <c r="C73" s="52" t="s">
        <v>68</v>
      </c>
      <c r="D73" s="53" t="s">
        <v>69</v>
      </c>
      <c r="E73" s="54">
        <v>1050</v>
      </c>
      <c r="F73" s="54"/>
      <c r="G73" s="54">
        <f>SmtRes!CX5</f>
        <v>21</v>
      </c>
      <c r="H73" s="55">
        <f>SmtRes!CZ5</f>
        <v>69.989999999999995</v>
      </c>
      <c r="I73" s="56">
        <f>SmtRes!AI5</f>
        <v>1.64</v>
      </c>
      <c r="J73" s="55">
        <f>ROUND(H73*I73,2)</f>
        <v>114.78</v>
      </c>
      <c r="K73" s="56"/>
      <c r="L73" s="55">
        <f>SmtRes!DF5</f>
        <v>2410.38</v>
      </c>
    </row>
    <row r="74" spans="1:83" ht="14.4" x14ac:dyDescent="0.25">
      <c r="A74" s="43"/>
      <c r="B74" s="43"/>
      <c r="C74" s="57" t="s">
        <v>70</v>
      </c>
      <c r="D74" s="44"/>
      <c r="E74" s="45"/>
      <c r="F74" s="45"/>
      <c r="G74" s="45"/>
      <c r="H74" s="46"/>
      <c r="I74" s="47"/>
      <c r="J74" s="46"/>
      <c r="K74" s="47"/>
      <c r="L74" s="46">
        <f>L64+L66+L67+L72</f>
        <v>3355.19</v>
      </c>
    </row>
    <row r="75" spans="1:83" ht="14.4" x14ac:dyDescent="0.25">
      <c r="A75" s="43"/>
      <c r="B75" s="43"/>
      <c r="C75" s="43" t="s">
        <v>71</v>
      </c>
      <c r="D75" s="44"/>
      <c r="E75" s="45"/>
      <c r="F75" s="45"/>
      <c r="G75" s="45"/>
      <c r="H75" s="46"/>
      <c r="I75" s="47"/>
      <c r="J75" s="46"/>
      <c r="K75" s="47"/>
      <c r="L75" s="46">
        <f>SUM(AR62:AR78)+SUM(AS62:AS78)+SUM(AT62:AT78)+SUM(AU62:AU78)+SUM(AV62:AV78)</f>
        <v>944.76</v>
      </c>
    </row>
    <row r="76" spans="1:83" ht="27.6" x14ac:dyDescent="0.25">
      <c r="A76" s="43"/>
      <c r="B76" s="43" t="s">
        <v>72</v>
      </c>
      <c r="C76" s="43" t="s">
        <v>73</v>
      </c>
      <c r="D76" s="44" t="s">
        <v>74</v>
      </c>
      <c r="E76" s="45">
        <f>Source!BZ28</f>
        <v>90</v>
      </c>
      <c r="F76" s="45"/>
      <c r="G76" s="45">
        <f>Source!AT28</f>
        <v>90</v>
      </c>
      <c r="H76" s="46"/>
      <c r="I76" s="47"/>
      <c r="J76" s="46"/>
      <c r="K76" s="47"/>
      <c r="L76" s="46">
        <f>SUM(AZ62:AZ78)</f>
        <v>850.28</v>
      </c>
    </row>
    <row r="77" spans="1:83" ht="27.6" x14ac:dyDescent="0.25">
      <c r="A77" s="52"/>
      <c r="B77" s="52" t="s">
        <v>75</v>
      </c>
      <c r="C77" s="52" t="s">
        <v>76</v>
      </c>
      <c r="D77" s="53" t="s">
        <v>74</v>
      </c>
      <c r="E77" s="54">
        <f>Source!CA28</f>
        <v>45</v>
      </c>
      <c r="F77" s="54"/>
      <c r="G77" s="54">
        <f>Source!AU28</f>
        <v>45</v>
      </c>
      <c r="H77" s="55"/>
      <c r="I77" s="56"/>
      <c r="J77" s="55"/>
      <c r="K77" s="56"/>
      <c r="L77" s="55">
        <f>SUM(BA62:BA78)</f>
        <v>425.14</v>
      </c>
    </row>
    <row r="78" spans="1:83" ht="13.8" x14ac:dyDescent="0.25">
      <c r="C78" s="103" t="s">
        <v>77</v>
      </c>
      <c r="D78" s="103"/>
      <c r="E78" s="103"/>
      <c r="F78" s="103"/>
      <c r="G78" s="103"/>
      <c r="H78" s="103"/>
      <c r="I78" s="104">
        <f>IF(E62&lt;&gt;0,K78/E62,0)</f>
        <v>231530.50000000003</v>
      </c>
      <c r="J78" s="104"/>
      <c r="K78" s="104">
        <f>L64+L66+L72+L76+L77+L67</f>
        <v>4630.6100000000006</v>
      </c>
      <c r="L78" s="104"/>
      <c r="AD78">
        <f>ROUND((Source!AT28/100)*((ROUND(SUMIF(SmtRes!AQ1:'SmtRes'!AQ5,"=1",SmtRes!AD1:'SmtRes'!AD5)*Source!I28,2)+ROUND(SUMIF(SmtRes!AQ1:'SmtRes'!AQ5,"=1",SmtRes!AC1:'SmtRes'!AC5)*Source!I28,2))),2)</f>
        <v>36.81</v>
      </c>
      <c r="AE78">
        <f>ROUND((Source!AU28/100)*((ROUND(SUMIF(SmtRes!AQ1:'SmtRes'!AQ5,"=1",SmtRes!AD1:'SmtRes'!AD5)*Source!I28,2)+ROUND(SUMIF(SmtRes!AQ1:'SmtRes'!AQ5,"=1",SmtRes!AC1:'SmtRes'!AC5)*Source!I28,2))),2)</f>
        <v>18.41</v>
      </c>
      <c r="AN78" s="59">
        <f>L64+L66+L72+L76+L77+L67</f>
        <v>4630.6100000000006</v>
      </c>
      <c r="AO78" s="59">
        <f>L66</f>
        <v>5.0000000000000044E-2</v>
      </c>
      <c r="AQ78" t="s">
        <v>78</v>
      </c>
      <c r="AR78" s="59">
        <f>L64</f>
        <v>944.47</v>
      </c>
      <c r="AT78" s="59">
        <f>L67</f>
        <v>0.29000000000000004</v>
      </c>
      <c r="AV78" t="s">
        <v>78</v>
      </c>
      <c r="AW78" s="59">
        <f>L72</f>
        <v>2410.38</v>
      </c>
      <c r="AZ78">
        <f>Source!X28</f>
        <v>850.28</v>
      </c>
      <c r="BA78">
        <f>Source!Y28</f>
        <v>425.14</v>
      </c>
      <c r="CD78">
        <v>1</v>
      </c>
    </row>
    <row r="79" spans="1:83" ht="41.4" x14ac:dyDescent="0.25">
      <c r="A79" s="76" t="s">
        <v>79</v>
      </c>
      <c r="B79" s="52" t="str">
        <f>Source!F29</f>
        <v>09.2.02.02-0011</v>
      </c>
      <c r="C79" s="52" t="str">
        <f>Source!G29</f>
        <v>Рейка алюминиевая сплошная потолочная S-формы, ширина 100 мм, толщина 0,3 мм</v>
      </c>
      <c r="D79" s="53" t="str">
        <f>Source!H29</f>
        <v>м</v>
      </c>
      <c r="E79" s="54">
        <f>Source!K29</f>
        <v>-21</v>
      </c>
      <c r="F79" s="54"/>
      <c r="G79" s="54">
        <f>Source!I29</f>
        <v>-21</v>
      </c>
      <c r="H79" s="55">
        <f>Source!AL29</f>
        <v>69.989999999999995</v>
      </c>
      <c r="I79" s="56">
        <f>IF(Source!BC29&lt;&gt;0,Source!BC29,1)</f>
        <v>1.64</v>
      </c>
      <c r="J79" s="55">
        <f>ROUND(H79*I79,2)</f>
        <v>114.78</v>
      </c>
      <c r="K79" s="56"/>
      <c r="L79" s="55">
        <f>Source!P29</f>
        <v>-2410.38</v>
      </c>
    </row>
    <row r="80" spans="1:83" ht="13.8" x14ac:dyDescent="0.25">
      <c r="C80" s="103" t="s">
        <v>77</v>
      </c>
      <c r="D80" s="103"/>
      <c r="E80" s="103"/>
      <c r="F80" s="103"/>
      <c r="G80" s="103"/>
      <c r="H80" s="103"/>
      <c r="I80" s="104">
        <f>IF(E79&lt;&gt;0,K80/E79,0)</f>
        <v>114.78</v>
      </c>
      <c r="J80" s="104"/>
      <c r="K80" s="104">
        <f>L79</f>
        <v>-2410.38</v>
      </c>
      <c r="L80" s="104"/>
      <c r="AD80">
        <f>ROUND((Source!AT29/100)*((ROUND(ROUND(Source!AO29,2)*Source!I29,2)+ROUND(ROUND(Source!AN29,2)*Source!I29,2))),2)</f>
        <v>0</v>
      </c>
      <c r="AE80">
        <f>ROUND((Source!AU29/100)*((ROUND(ROUND(Source!AO29,2)*Source!I29,2)+ROUND(ROUND(Source!AN29,2)*Source!I29,2))),2)</f>
        <v>0</v>
      </c>
      <c r="AN80" s="59">
        <f>L79</f>
        <v>-2410.38</v>
      </c>
      <c r="AO80">
        <f>0</f>
        <v>0</v>
      </c>
      <c r="AQ80" t="s">
        <v>78</v>
      </c>
      <c r="AR80">
        <f>0</f>
        <v>0</v>
      </c>
      <c r="AT80">
        <f>0</f>
        <v>0</v>
      </c>
      <c r="AV80" t="s">
        <v>78</v>
      </c>
      <c r="AW80" s="59">
        <f>L79</f>
        <v>-2410.38</v>
      </c>
      <c r="AZ80">
        <f>Source!X29</f>
        <v>0</v>
      </c>
      <c r="BA80">
        <f>Source!Y29</f>
        <v>0</v>
      </c>
      <c r="CD80">
        <v>1</v>
      </c>
    </row>
    <row r="81" spans="1:83" ht="27.6" x14ac:dyDescent="0.25">
      <c r="A81" s="75" t="s">
        <v>80</v>
      </c>
      <c r="B81" s="43" t="s">
        <v>81</v>
      </c>
      <c r="C81" s="43" t="str">
        <f>Source!G30</f>
        <v>Смена задвижек диаметром: 100 мм/диам.80 мм</v>
      </c>
      <c r="D81" s="44" t="str">
        <f>Source!H30</f>
        <v>100 ШТ</v>
      </c>
      <c r="E81" s="45">
        <f>Source!K30</f>
        <v>0.01</v>
      </c>
      <c r="F81" s="45"/>
      <c r="G81" s="45">
        <f>Source!I30</f>
        <v>0.01</v>
      </c>
      <c r="H81" s="46"/>
      <c r="I81" s="47"/>
      <c r="J81" s="46"/>
      <c r="K81" s="47"/>
      <c r="L81" s="46"/>
    </row>
    <row r="82" spans="1:83" x14ac:dyDescent="0.25">
      <c r="C82" s="48" t="str">
        <f>"Объем: "&amp;Source!I30&amp;"=1/"&amp;"100"</f>
        <v>Объем: 0,01=1/100</v>
      </c>
    </row>
    <row r="83" spans="1:83" ht="14.4" x14ac:dyDescent="0.25">
      <c r="A83" s="49"/>
      <c r="B83" s="45">
        <v>1</v>
      </c>
      <c r="C83" s="49" t="s">
        <v>52</v>
      </c>
      <c r="D83" s="44" t="s">
        <v>31</v>
      </c>
      <c r="E83" s="50"/>
      <c r="F83" s="45"/>
      <c r="G83" s="45">
        <f>Source!U30</f>
        <v>3.08</v>
      </c>
      <c r="H83" s="45"/>
      <c r="I83" s="45"/>
      <c r="J83" s="45"/>
      <c r="K83" s="45"/>
      <c r="L83" s="51">
        <f>SUM(L84:L84)-SUMIF(CE84:CE84,1,L84:L84)</f>
        <v>2099.42</v>
      </c>
    </row>
    <row r="84" spans="1:83" ht="14.4" x14ac:dyDescent="0.25">
      <c r="A84" s="43"/>
      <c r="B84" s="43" t="s">
        <v>53</v>
      </c>
      <c r="C84" s="43" t="s">
        <v>54</v>
      </c>
      <c r="D84" s="44" t="s">
        <v>31</v>
      </c>
      <c r="E84" s="45">
        <v>308</v>
      </c>
      <c r="F84" s="45"/>
      <c r="G84" s="45">
        <f>SmtRes!CX6</f>
        <v>3.08</v>
      </c>
      <c r="H84" s="46"/>
      <c r="I84" s="47"/>
      <c r="J84" s="46">
        <f>SmtRes!CZ6</f>
        <v>681.63</v>
      </c>
      <c r="K84" s="47"/>
      <c r="L84" s="46">
        <f>SmtRes!DI6</f>
        <v>2099.42</v>
      </c>
    </row>
    <row r="85" spans="1:83" ht="14.4" x14ac:dyDescent="0.25">
      <c r="A85" s="49"/>
      <c r="B85" s="45">
        <v>2</v>
      </c>
      <c r="C85" s="49" t="s">
        <v>55</v>
      </c>
      <c r="D85" s="44"/>
      <c r="E85" s="50"/>
      <c r="F85" s="45"/>
      <c r="G85" s="45"/>
      <c r="H85" s="45"/>
      <c r="I85" s="45"/>
      <c r="J85" s="45"/>
      <c r="K85" s="45"/>
      <c r="L85" s="51">
        <f>SUM(L86:L88)-SUMIF(CE86:CE88,1,L86:L88)</f>
        <v>27.019999999999996</v>
      </c>
    </row>
    <row r="86" spans="1:83" ht="14.4" x14ac:dyDescent="0.25">
      <c r="A86" s="49"/>
      <c r="B86" s="45"/>
      <c r="C86" s="49" t="s">
        <v>56</v>
      </c>
      <c r="D86" s="44" t="s">
        <v>31</v>
      </c>
      <c r="E86" s="50"/>
      <c r="F86" s="45"/>
      <c r="G86" s="45">
        <f>Source!V30</f>
        <v>4.2000000000000003E-2</v>
      </c>
      <c r="H86" s="45"/>
      <c r="I86" s="45"/>
      <c r="J86" s="45"/>
      <c r="K86" s="45"/>
      <c r="L86" s="51">
        <f>SUMIF(CE87:CE88,1,L87:L88)</f>
        <v>30.33</v>
      </c>
      <c r="CE86">
        <v>1</v>
      </c>
    </row>
    <row r="87" spans="1:83" ht="27.6" x14ac:dyDescent="0.25">
      <c r="A87" s="43"/>
      <c r="B87" s="43" t="s">
        <v>62</v>
      </c>
      <c r="C87" s="43" t="s">
        <v>63</v>
      </c>
      <c r="D87" s="44" t="s">
        <v>59</v>
      </c>
      <c r="E87" s="45">
        <v>4.2</v>
      </c>
      <c r="F87" s="45"/>
      <c r="G87" s="45">
        <f>SmtRes!CX8</f>
        <v>4.2000000000000003E-2</v>
      </c>
      <c r="H87" s="46"/>
      <c r="I87" s="47"/>
      <c r="J87" s="46">
        <f>SmtRes!CZ8</f>
        <v>643.29</v>
      </c>
      <c r="K87" s="47"/>
      <c r="L87" s="46">
        <f>SmtRes!DG8</f>
        <v>27.02</v>
      </c>
    </row>
    <row r="88" spans="1:83" ht="14.4" x14ac:dyDescent="0.25">
      <c r="A88" s="43"/>
      <c r="B88" s="43" t="s">
        <v>64</v>
      </c>
      <c r="C88" s="43" t="s">
        <v>65</v>
      </c>
      <c r="D88" s="44" t="s">
        <v>31</v>
      </c>
      <c r="E88" s="45">
        <f>SmtRes!DO8*SmtRes!AT8</f>
        <v>4.2</v>
      </c>
      <c r="F88" s="45"/>
      <c r="G88" s="45">
        <f>ROUND(E88*G81,7)</f>
        <v>4.2000000000000003E-2</v>
      </c>
      <c r="H88" s="46"/>
      <c r="I88" s="47"/>
      <c r="J88" s="46">
        <f>ROUND(SmtRes!AG8/SmtRes!DO8,2)</f>
        <v>722.05</v>
      </c>
      <c r="K88" s="47"/>
      <c r="L88" s="46">
        <f>SmtRes!DH8</f>
        <v>30.33</v>
      </c>
      <c r="CE88">
        <v>1</v>
      </c>
    </row>
    <row r="89" spans="1:83" ht="14.4" x14ac:dyDescent="0.25">
      <c r="A89" s="49"/>
      <c r="B89" s="45">
        <v>4</v>
      </c>
      <c r="C89" s="49" t="s">
        <v>66</v>
      </c>
      <c r="D89" s="44"/>
      <c r="E89" s="50"/>
      <c r="F89" s="45"/>
      <c r="G89" s="45"/>
      <c r="H89" s="45"/>
      <c r="I89" s="45"/>
      <c r="J89" s="45"/>
      <c r="K89" s="45"/>
      <c r="L89" s="51">
        <f>SUM(L90:L91)-SUMIF(CE90:CE91,1,L90:L91)</f>
        <v>379.63</v>
      </c>
    </row>
    <row r="90" spans="1:83" ht="27.6" x14ac:dyDescent="0.25">
      <c r="A90" s="43"/>
      <c r="B90" s="43" t="s">
        <v>82</v>
      </c>
      <c r="C90" s="43" t="s">
        <v>83</v>
      </c>
      <c r="D90" s="44" t="s">
        <v>84</v>
      </c>
      <c r="E90" s="45">
        <v>0.2</v>
      </c>
      <c r="F90" s="45"/>
      <c r="G90" s="45">
        <f>SmtRes!CX9</f>
        <v>2E-3</v>
      </c>
      <c r="H90" s="46">
        <f>SmtRes!CZ9</f>
        <v>13680.39</v>
      </c>
      <c r="I90" s="47">
        <f>SmtRes!AI9</f>
        <v>1.18</v>
      </c>
      <c r="J90" s="46">
        <f>ROUND(H90*I90,2)</f>
        <v>16142.86</v>
      </c>
      <c r="K90" s="47"/>
      <c r="L90" s="46">
        <f>SmtRes!DF9</f>
        <v>32.29</v>
      </c>
    </row>
    <row r="91" spans="1:83" ht="69" x14ac:dyDescent="0.25">
      <c r="A91" s="43"/>
      <c r="B91" s="43" t="s">
        <v>85</v>
      </c>
      <c r="C91" s="43" t="s">
        <v>86</v>
      </c>
      <c r="D91" s="44" t="s">
        <v>87</v>
      </c>
      <c r="E91" s="45">
        <v>0.21</v>
      </c>
      <c r="F91" s="45"/>
      <c r="G91" s="45">
        <f>SmtRes!CX10</f>
        <v>2.0999999999999999E-3</v>
      </c>
      <c r="H91" s="46">
        <f>SmtRes!CZ10</f>
        <v>151744.95000000001</v>
      </c>
      <c r="I91" s="47">
        <f>SmtRes!AI10</f>
        <v>1.0900000000000001</v>
      </c>
      <c r="J91" s="46">
        <f>ROUND(H91*I91,2)</f>
        <v>165402</v>
      </c>
      <c r="K91" s="47"/>
      <c r="L91" s="46">
        <f>SmtRes!DF10</f>
        <v>347.34</v>
      </c>
    </row>
    <row r="92" spans="1:83" ht="14.4" x14ac:dyDescent="0.25">
      <c r="A92" s="43"/>
      <c r="B92" s="43" t="str">
        <f>EtalonRes!I11</f>
        <v>18.1.02.01</v>
      </c>
      <c r="C92" s="52" t="str">
        <f>EtalonRes!K11</f>
        <v>Задвижки</v>
      </c>
      <c r="D92" s="53" t="str">
        <f>EtalonRes!O11</f>
        <v>ШТ</v>
      </c>
      <c r="E92" s="54">
        <f>EtalonRes!X11</f>
        <v>100</v>
      </c>
      <c r="F92" s="54"/>
      <c r="G92" s="54">
        <f>ROUND(EtalonRes!AG11*Source!I30,7)</f>
        <v>1</v>
      </c>
      <c r="H92" s="55"/>
      <c r="I92" s="56"/>
      <c r="J92" s="55"/>
      <c r="K92" s="56"/>
      <c r="L92" s="55"/>
    </row>
    <row r="93" spans="1:83" ht="14.4" x14ac:dyDescent="0.25">
      <c r="A93" s="43"/>
      <c r="B93" s="43"/>
      <c r="C93" s="57" t="s">
        <v>70</v>
      </c>
      <c r="D93" s="44"/>
      <c r="E93" s="45"/>
      <c r="F93" s="45"/>
      <c r="G93" s="45"/>
      <c r="H93" s="46"/>
      <c r="I93" s="47"/>
      <c r="J93" s="46"/>
      <c r="K93" s="47"/>
      <c r="L93" s="46">
        <f>L83+L85+L86+L89</f>
        <v>2536.4</v>
      </c>
    </row>
    <row r="94" spans="1:83" ht="55.2" x14ac:dyDescent="0.25">
      <c r="A94" s="75" t="s">
        <v>88</v>
      </c>
      <c r="B94" s="43" t="str">
        <f>Source!F31</f>
        <v>18.1.02.01-0028</v>
      </c>
      <c r="C94" s="43" t="str">
        <f>Source!G31</f>
        <v>Задвижка клиновая с выдвижным шпинделем, привод ручной, номинальное давление 2,5 МПа, номинальный диаметр 80 мм</v>
      </c>
      <c r="D94" s="44" t="str">
        <f>Source!H31</f>
        <v>ШТ</v>
      </c>
      <c r="E94" s="45">
        <f>SmtRes!AT11</f>
        <v>100</v>
      </c>
      <c r="F94" s="45"/>
      <c r="G94" s="45">
        <f>Source!I31</f>
        <v>1</v>
      </c>
      <c r="H94" s="46">
        <f>Source!AL31+Source!AO31+Source!AM31+Source!AN31</f>
        <v>9492</v>
      </c>
      <c r="I94" s="47">
        <f>IF(Source!BC31&lt;&gt;0,Source!BC31,1)</f>
        <v>1.31</v>
      </c>
      <c r="J94" s="46">
        <f>ROUND(H94*I94,2)</f>
        <v>12434.52</v>
      </c>
      <c r="K94" s="47"/>
      <c r="L94" s="46">
        <f>Source!P31</f>
        <v>12434.52</v>
      </c>
      <c r="AD94">
        <f>ROUND((Source!AT31/100)*((ROUND(ROUND(Source!AO31,2)*Source!I31,2)+ROUND(ROUND(Source!AN31,2)*Source!I31,2))),2)</f>
        <v>0</v>
      </c>
      <c r="AE94">
        <f>ROUND((Source!AU31/100)*((ROUND(ROUND(Source!AO31,2)*Source!I31,2)+ROUND(ROUND(Source!AN31,2)*Source!I31,2))),2)</f>
        <v>0</v>
      </c>
      <c r="AN94">
        <f>L94</f>
        <v>12434.52</v>
      </c>
      <c r="AW94">
        <f>L94</f>
        <v>12434.52</v>
      </c>
      <c r="AZ94">
        <f>Source!X31</f>
        <v>0</v>
      </c>
      <c r="BA94">
        <f>Source!Y31</f>
        <v>0</v>
      </c>
      <c r="CD94">
        <v>1</v>
      </c>
    </row>
    <row r="95" spans="1:83" ht="27.6" x14ac:dyDescent="0.25">
      <c r="A95" s="75" t="s">
        <v>89</v>
      </c>
      <c r="B95" s="43" t="str">
        <f>Source!F32</f>
        <v>999-9899</v>
      </c>
      <c r="C95" s="43" t="str">
        <f>Source!G32</f>
        <v>Строительный мусор и масса возвратных материалов</v>
      </c>
      <c r="D95" s="44" t="str">
        <f>Source!H32</f>
        <v>т</v>
      </c>
      <c r="E95" s="45">
        <f>SmtRes!AT12</f>
        <v>3.84</v>
      </c>
      <c r="F95" s="45"/>
      <c r="G95" s="45">
        <f>Source!I32</f>
        <v>3.8399999999999997E-2</v>
      </c>
      <c r="H95" s="46">
        <f>Source!AL32+Source!AO32+Source!AM32+Source!AN32</f>
        <v>0</v>
      </c>
      <c r="I95" s="47"/>
      <c r="J95" s="46"/>
      <c r="K95" s="47"/>
      <c r="L95" s="46">
        <f>Source!P32</f>
        <v>0</v>
      </c>
      <c r="AD95">
        <f>ROUND((Source!AT32/100)*((ROUND(ROUND(Source!AO32,2)*Source!I32,2)+ROUND(ROUND(Source!AN32,2)*Source!I32,2))),2)</f>
        <v>0</v>
      </c>
      <c r="AE95">
        <f>ROUND((Source!AU32/100)*((ROUND(ROUND(Source!AO32,2)*Source!I32,2)+ROUND(ROUND(Source!AN32,2)*Source!I32,2))),2)</f>
        <v>0</v>
      </c>
      <c r="AN95">
        <f>L95</f>
        <v>0</v>
      </c>
      <c r="AW95">
        <f>L95</f>
        <v>0</v>
      </c>
      <c r="AZ95">
        <f>Source!X32</f>
        <v>0</v>
      </c>
      <c r="BA95">
        <f>Source!Y32</f>
        <v>0</v>
      </c>
      <c r="CD95">
        <v>1</v>
      </c>
    </row>
    <row r="96" spans="1:83" ht="14.4" x14ac:dyDescent="0.25">
      <c r="A96" s="43"/>
      <c r="B96" s="43"/>
      <c r="C96" s="43" t="s">
        <v>71</v>
      </c>
      <c r="D96" s="44"/>
      <c r="E96" s="45"/>
      <c r="F96" s="45"/>
      <c r="G96" s="45"/>
      <c r="H96" s="46"/>
      <c r="I96" s="47"/>
      <c r="J96" s="46"/>
      <c r="K96" s="47"/>
      <c r="L96" s="46">
        <f>SUM(AR81:AR99)+SUM(AS81:AS99)+SUM(AT81:AT99)+SUM(AU81:AU99)+SUM(AV81:AV99)</f>
        <v>2129.75</v>
      </c>
    </row>
    <row r="97" spans="1:83" ht="41.4" x14ac:dyDescent="0.25">
      <c r="A97" s="43"/>
      <c r="B97" s="43" t="s">
        <v>90</v>
      </c>
      <c r="C97" s="43" t="s">
        <v>91</v>
      </c>
      <c r="D97" s="44" t="s">
        <v>74</v>
      </c>
      <c r="E97" s="45">
        <f>Source!BZ30</f>
        <v>103</v>
      </c>
      <c r="F97" s="45"/>
      <c r="G97" s="45">
        <f>Source!AT30</f>
        <v>103</v>
      </c>
      <c r="H97" s="46"/>
      <c r="I97" s="47"/>
      <c r="J97" s="46"/>
      <c r="K97" s="47"/>
      <c r="L97" s="46">
        <f>SUM(AZ81:AZ99)</f>
        <v>2193.64</v>
      </c>
    </row>
    <row r="98" spans="1:83" ht="41.4" x14ac:dyDescent="0.25">
      <c r="A98" s="52"/>
      <c r="B98" s="52" t="s">
        <v>92</v>
      </c>
      <c r="C98" s="52" t="s">
        <v>93</v>
      </c>
      <c r="D98" s="53" t="s">
        <v>74</v>
      </c>
      <c r="E98" s="54">
        <f>Source!CA30</f>
        <v>52</v>
      </c>
      <c r="F98" s="54"/>
      <c r="G98" s="54">
        <f>Source!AU30</f>
        <v>52</v>
      </c>
      <c r="H98" s="55"/>
      <c r="I98" s="56"/>
      <c r="J98" s="55"/>
      <c r="K98" s="56"/>
      <c r="L98" s="55">
        <f>SUM(BA81:BA99)</f>
        <v>1107.47</v>
      </c>
    </row>
    <row r="99" spans="1:83" ht="13.8" x14ac:dyDescent="0.25">
      <c r="C99" s="103" t="s">
        <v>77</v>
      </c>
      <c r="D99" s="103"/>
      <c r="E99" s="103"/>
      <c r="F99" s="103"/>
      <c r="G99" s="103"/>
      <c r="H99" s="103"/>
      <c r="I99" s="104">
        <f>IF(E81&lt;&gt;0,K99/E81,0)</f>
        <v>1827202.9999999998</v>
      </c>
      <c r="J99" s="104"/>
      <c r="K99" s="104">
        <f>L83+L85+L89+L97+L98+L86+SUM(L94:L95)</f>
        <v>18272.03</v>
      </c>
      <c r="L99" s="104"/>
      <c r="AD99">
        <f>ROUND((Source!AT30/100)*((ROUND(SUMIF(SmtRes!AQ6:'SmtRes'!AQ12,"=1",SmtRes!AD6:'SmtRes'!AD12)*Source!I30,2)+ROUND(SUMIF(SmtRes!AQ6:'SmtRes'!AQ12,"=1",SmtRes!AC6:'SmtRes'!AC12)*Source!I30,2))),2)</f>
        <v>14.46</v>
      </c>
      <c r="AE99">
        <f>ROUND((Source!AU30/100)*((ROUND(SUMIF(SmtRes!AQ6:'SmtRes'!AQ12,"=1",SmtRes!AD6:'SmtRes'!AD12)*Source!I30,2)+ROUND(SUMIF(SmtRes!AQ6:'SmtRes'!AQ12,"=1",SmtRes!AC6:'SmtRes'!AC12)*Source!I30,2))),2)</f>
        <v>7.3</v>
      </c>
      <c r="AN99" s="59">
        <f>L83+L85+L89+L97+L98+L86</f>
        <v>5837.51</v>
      </c>
      <c r="AO99" s="59">
        <f>L85</f>
        <v>27.019999999999996</v>
      </c>
      <c r="AQ99" t="s">
        <v>78</v>
      </c>
      <c r="AR99" s="59">
        <f>L83</f>
        <v>2099.42</v>
      </c>
      <c r="AT99" s="59">
        <f>L86</f>
        <v>30.33</v>
      </c>
      <c r="AV99" t="s">
        <v>78</v>
      </c>
      <c r="AW99" s="59">
        <f>L89</f>
        <v>379.63</v>
      </c>
      <c r="AZ99">
        <f>Source!X30</f>
        <v>2193.64</v>
      </c>
      <c r="BA99">
        <f>Source!Y30</f>
        <v>1107.47</v>
      </c>
      <c r="CD99">
        <v>1</v>
      </c>
    </row>
    <row r="100" spans="1:83" ht="27.6" x14ac:dyDescent="0.25">
      <c r="A100" s="75" t="s">
        <v>94</v>
      </c>
      <c r="B100" s="43" t="s">
        <v>95</v>
      </c>
      <c r="C100" s="43" t="str">
        <f>Source!G33</f>
        <v>Смена внутренних трубопроводов из стальных труб диаметром: до 80 мм</v>
      </c>
      <c r="D100" s="44" t="str">
        <f>Source!H33</f>
        <v>100 м</v>
      </c>
      <c r="E100" s="45">
        <f>Source!K33</f>
        <v>0.02</v>
      </c>
      <c r="F100" s="45"/>
      <c r="G100" s="45">
        <f>Source!I33</f>
        <v>0.02</v>
      </c>
      <c r="H100" s="46"/>
      <c r="I100" s="47"/>
      <c r="J100" s="46"/>
      <c r="K100" s="47"/>
      <c r="L100" s="46"/>
    </row>
    <row r="101" spans="1:83" x14ac:dyDescent="0.25">
      <c r="C101" s="48" t="str">
        <f>"Объем: "&amp;Source!I33&amp;"=2/"&amp;"100"</f>
        <v>Объем: 0,02=2/100</v>
      </c>
    </row>
    <row r="102" spans="1:83" ht="14.4" x14ac:dyDescent="0.25">
      <c r="A102" s="49"/>
      <c r="B102" s="45">
        <v>1</v>
      </c>
      <c r="C102" s="49" t="s">
        <v>52</v>
      </c>
      <c r="D102" s="44" t="s">
        <v>31</v>
      </c>
      <c r="E102" s="50"/>
      <c r="F102" s="45"/>
      <c r="G102" s="45">
        <f>Source!U33</f>
        <v>3.496</v>
      </c>
      <c r="H102" s="45"/>
      <c r="I102" s="45"/>
      <c r="J102" s="45"/>
      <c r="K102" s="45"/>
      <c r="L102" s="51">
        <f>SUM(L103:L103)-SUMIF(CE103:CE103,1,L103:L103)</f>
        <v>2524.29</v>
      </c>
    </row>
    <row r="103" spans="1:83" ht="14.4" x14ac:dyDescent="0.25">
      <c r="A103" s="43"/>
      <c r="B103" s="43" t="s">
        <v>96</v>
      </c>
      <c r="C103" s="43" t="s">
        <v>97</v>
      </c>
      <c r="D103" s="44" t="s">
        <v>31</v>
      </c>
      <c r="E103" s="45">
        <v>174.8</v>
      </c>
      <c r="F103" s="45"/>
      <c r="G103" s="45">
        <f>SmtRes!CX13</f>
        <v>3.496</v>
      </c>
      <c r="H103" s="46"/>
      <c r="I103" s="47"/>
      <c r="J103" s="46">
        <f>SmtRes!CZ13</f>
        <v>722.05</v>
      </c>
      <c r="K103" s="47"/>
      <c r="L103" s="46">
        <f>SmtRes!DI13</f>
        <v>2524.29</v>
      </c>
    </row>
    <row r="104" spans="1:83" ht="14.4" x14ac:dyDescent="0.25">
      <c r="A104" s="49"/>
      <c r="B104" s="45">
        <v>2</v>
      </c>
      <c r="C104" s="49" t="s">
        <v>55</v>
      </c>
      <c r="D104" s="44"/>
      <c r="E104" s="50"/>
      <c r="F104" s="45"/>
      <c r="G104" s="45"/>
      <c r="H104" s="45"/>
      <c r="I104" s="45"/>
      <c r="J104" s="45"/>
      <c r="K104" s="45"/>
      <c r="L104" s="51">
        <f>SUM(L105:L111)-SUMIF(CE105:CE111,1,L105:L111)</f>
        <v>22.700000000000003</v>
      </c>
    </row>
    <row r="105" spans="1:83" ht="14.4" x14ac:dyDescent="0.25">
      <c r="A105" s="49"/>
      <c r="B105" s="45"/>
      <c r="C105" s="49" t="s">
        <v>56</v>
      </c>
      <c r="D105" s="44" t="s">
        <v>31</v>
      </c>
      <c r="E105" s="50"/>
      <c r="F105" s="45"/>
      <c r="G105" s="45">
        <f>Source!V33</f>
        <v>1.44E-2</v>
      </c>
      <c r="H105" s="45"/>
      <c r="I105" s="45"/>
      <c r="J105" s="45"/>
      <c r="K105" s="45"/>
      <c r="L105" s="51">
        <f>SUMIF(CE106:CE111,1,L106:L111)</f>
        <v>9.82</v>
      </c>
      <c r="CE105">
        <v>1</v>
      </c>
    </row>
    <row r="106" spans="1:83" ht="41.4" x14ac:dyDescent="0.25">
      <c r="A106" s="43"/>
      <c r="B106" s="43" t="s">
        <v>57</v>
      </c>
      <c r="C106" s="43" t="s">
        <v>58</v>
      </c>
      <c r="D106" s="44" t="s">
        <v>59</v>
      </c>
      <c r="E106" s="45">
        <v>0.36</v>
      </c>
      <c r="F106" s="45"/>
      <c r="G106" s="45">
        <f>SmtRes!CX15</f>
        <v>7.1999999999999998E-3</v>
      </c>
      <c r="H106" s="46">
        <f>SmtRes!CZ15</f>
        <v>37.32</v>
      </c>
      <c r="I106" s="47">
        <f>SmtRes!AJ15</f>
        <v>1.54</v>
      </c>
      <c r="J106" s="46">
        <f>ROUND(H106*I106,2)</f>
        <v>57.47</v>
      </c>
      <c r="K106" s="47"/>
      <c r="L106" s="46">
        <f>SmtRes!DG15</f>
        <v>0.41</v>
      </c>
    </row>
    <row r="107" spans="1:83" ht="14.4" x14ac:dyDescent="0.25">
      <c r="A107" s="43"/>
      <c r="B107" s="43" t="s">
        <v>60</v>
      </c>
      <c r="C107" s="43" t="s">
        <v>61</v>
      </c>
      <c r="D107" s="44" t="s">
        <v>31</v>
      </c>
      <c r="E107" s="45">
        <f>SmtRes!DO15*SmtRes!AT15</f>
        <v>0.36</v>
      </c>
      <c r="F107" s="45"/>
      <c r="G107" s="45">
        <f>ROUND(E107*G100,7)</f>
        <v>7.1999999999999998E-3</v>
      </c>
      <c r="H107" s="46"/>
      <c r="I107" s="47"/>
      <c r="J107" s="46">
        <f>ROUND(SmtRes!AG15/SmtRes!DO15,2)</f>
        <v>641.22</v>
      </c>
      <c r="K107" s="47"/>
      <c r="L107" s="46">
        <f>SmtRes!DH15</f>
        <v>4.62</v>
      </c>
      <c r="CE107">
        <v>1</v>
      </c>
    </row>
    <row r="108" spans="1:83" ht="27.6" x14ac:dyDescent="0.25">
      <c r="A108" s="43"/>
      <c r="B108" s="43" t="s">
        <v>62</v>
      </c>
      <c r="C108" s="43" t="s">
        <v>63</v>
      </c>
      <c r="D108" s="44" t="s">
        <v>59</v>
      </c>
      <c r="E108" s="45">
        <v>0.36</v>
      </c>
      <c r="F108" s="45"/>
      <c r="G108" s="45">
        <f>SmtRes!CX16</f>
        <v>7.1999999999999998E-3</v>
      </c>
      <c r="H108" s="46"/>
      <c r="I108" s="47"/>
      <c r="J108" s="46">
        <f>SmtRes!CZ16</f>
        <v>643.29</v>
      </c>
      <c r="K108" s="47"/>
      <c r="L108" s="46">
        <f>SmtRes!DG16</f>
        <v>4.63</v>
      </c>
    </row>
    <row r="109" spans="1:83" ht="14.4" x14ac:dyDescent="0.25">
      <c r="A109" s="43"/>
      <c r="B109" s="43" t="s">
        <v>64</v>
      </c>
      <c r="C109" s="43" t="s">
        <v>65</v>
      </c>
      <c r="D109" s="44" t="s">
        <v>31</v>
      </c>
      <c r="E109" s="45">
        <f>SmtRes!DO16*SmtRes!AT16</f>
        <v>0.36</v>
      </c>
      <c r="F109" s="45"/>
      <c r="G109" s="45">
        <f>ROUND(E109*G100,7)</f>
        <v>7.1999999999999998E-3</v>
      </c>
      <c r="H109" s="46"/>
      <c r="I109" s="47"/>
      <c r="J109" s="46">
        <f>ROUND(SmtRes!AG16/SmtRes!DO16,2)</f>
        <v>722.05</v>
      </c>
      <c r="K109" s="47"/>
      <c r="L109" s="46">
        <f>SmtRes!DH16</f>
        <v>5.2</v>
      </c>
      <c r="CE109">
        <v>1</v>
      </c>
    </row>
    <row r="110" spans="1:83" ht="14.4" x14ac:dyDescent="0.25">
      <c r="A110" s="43"/>
      <c r="B110" s="43" t="s">
        <v>98</v>
      </c>
      <c r="C110" s="43" t="s">
        <v>99</v>
      </c>
      <c r="D110" s="44" t="s">
        <v>59</v>
      </c>
      <c r="E110" s="45">
        <v>8.9</v>
      </c>
      <c r="F110" s="45"/>
      <c r="G110" s="45">
        <f>SmtRes!CX17</f>
        <v>0.17799999999999999</v>
      </c>
      <c r="H110" s="46">
        <f>SmtRes!CZ17</f>
        <v>4.3499999999999996</v>
      </c>
      <c r="I110" s="47">
        <f>SmtRes!AJ17</f>
        <v>1.23</v>
      </c>
      <c r="J110" s="46">
        <f>ROUND(H110*I110,2)</f>
        <v>5.35</v>
      </c>
      <c r="K110" s="47"/>
      <c r="L110" s="46">
        <f>SmtRes!DG17</f>
        <v>0.95</v>
      </c>
    </row>
    <row r="111" spans="1:83" ht="27.6" x14ac:dyDescent="0.25">
      <c r="A111" s="43"/>
      <c r="B111" s="43" t="s">
        <v>100</v>
      </c>
      <c r="C111" s="43" t="s">
        <v>101</v>
      </c>
      <c r="D111" s="44" t="s">
        <v>59</v>
      </c>
      <c r="E111" s="45">
        <v>25.9</v>
      </c>
      <c r="F111" s="45"/>
      <c r="G111" s="45">
        <f>SmtRes!CX18</f>
        <v>0.51800000000000002</v>
      </c>
      <c r="H111" s="46"/>
      <c r="I111" s="47"/>
      <c r="J111" s="46">
        <f>SmtRes!CZ18</f>
        <v>32.26</v>
      </c>
      <c r="K111" s="47"/>
      <c r="L111" s="46">
        <f>SmtRes!DG18</f>
        <v>16.71</v>
      </c>
    </row>
    <row r="112" spans="1:83" ht="14.4" x14ac:dyDescent="0.25">
      <c r="A112" s="49"/>
      <c r="B112" s="45">
        <v>4</v>
      </c>
      <c r="C112" s="49" t="s">
        <v>66</v>
      </c>
      <c r="D112" s="44"/>
      <c r="E112" s="50"/>
      <c r="F112" s="45"/>
      <c r="G112" s="45"/>
      <c r="H112" s="45"/>
      <c r="I112" s="45"/>
      <c r="J112" s="45"/>
      <c r="K112" s="45"/>
      <c r="L112" s="51">
        <f>SUM(L113:L116)-SUMIF(CE113:CE116,1,L113:L116)</f>
        <v>42.6</v>
      </c>
    </row>
    <row r="113" spans="1:82" ht="14.4" x14ac:dyDescent="0.25">
      <c r="A113" s="43"/>
      <c r="B113" s="43" t="s">
        <v>102</v>
      </c>
      <c r="C113" s="43" t="s">
        <v>103</v>
      </c>
      <c r="D113" s="44" t="s">
        <v>104</v>
      </c>
      <c r="E113" s="45">
        <v>2.0499999999999998</v>
      </c>
      <c r="F113" s="45"/>
      <c r="G113" s="45">
        <f>SmtRes!CX19</f>
        <v>4.1000000000000002E-2</v>
      </c>
      <c r="H113" s="46">
        <f>SmtRes!CZ19</f>
        <v>340.41</v>
      </c>
      <c r="I113" s="47">
        <f>SmtRes!AI19</f>
        <v>1.5</v>
      </c>
      <c r="J113" s="46">
        <f>ROUND(H113*I113,2)</f>
        <v>510.62</v>
      </c>
      <c r="K113" s="47"/>
      <c r="L113" s="46">
        <f>SmtRes!DF19</f>
        <v>20.94</v>
      </c>
    </row>
    <row r="114" spans="1:82" ht="14.4" x14ac:dyDescent="0.25">
      <c r="A114" s="43"/>
      <c r="B114" s="43" t="s">
        <v>105</v>
      </c>
      <c r="C114" s="43" t="s">
        <v>106</v>
      </c>
      <c r="D114" s="44" t="s">
        <v>104</v>
      </c>
      <c r="E114" s="45">
        <v>2.52</v>
      </c>
      <c r="F114" s="45"/>
      <c r="G114" s="45">
        <f>SmtRes!CX20</f>
        <v>5.04E-2</v>
      </c>
      <c r="H114" s="46">
        <f>SmtRes!CZ20</f>
        <v>114.64</v>
      </c>
      <c r="I114" s="47">
        <f>SmtRes!AI20</f>
        <v>0.85</v>
      </c>
      <c r="J114" s="46">
        <f>ROUND(H114*I114,2)</f>
        <v>97.44</v>
      </c>
      <c r="K114" s="47"/>
      <c r="L114" s="46">
        <f>SmtRes!DF20</f>
        <v>4.91</v>
      </c>
    </row>
    <row r="115" spans="1:82" ht="27.6" x14ac:dyDescent="0.25">
      <c r="A115" s="43"/>
      <c r="B115" s="43" t="s">
        <v>107</v>
      </c>
      <c r="C115" s="43" t="s">
        <v>108</v>
      </c>
      <c r="D115" s="44" t="s">
        <v>87</v>
      </c>
      <c r="E115" s="45">
        <v>1E-3</v>
      </c>
      <c r="F115" s="45"/>
      <c r="G115" s="45">
        <f>SmtRes!CX21</f>
        <v>2.0000000000000002E-5</v>
      </c>
      <c r="H115" s="46">
        <f>SmtRes!CZ21</f>
        <v>97282.880000000005</v>
      </c>
      <c r="I115" s="47">
        <f>SmtRes!AI21</f>
        <v>1.1200000000000001</v>
      </c>
      <c r="J115" s="46">
        <f>ROUND(H115*I115,2)</f>
        <v>108956.83</v>
      </c>
      <c r="K115" s="47"/>
      <c r="L115" s="46">
        <f>SmtRes!DF21</f>
        <v>2.1800000000000002</v>
      </c>
    </row>
    <row r="116" spans="1:82" ht="55.2" x14ac:dyDescent="0.25">
      <c r="A116" s="43"/>
      <c r="B116" s="43" t="s">
        <v>109</v>
      </c>
      <c r="C116" s="43" t="s">
        <v>110</v>
      </c>
      <c r="D116" s="44" t="s">
        <v>111</v>
      </c>
      <c r="E116" s="45">
        <v>6</v>
      </c>
      <c r="F116" s="45"/>
      <c r="G116" s="45">
        <f>SmtRes!CX22</f>
        <v>0.12</v>
      </c>
      <c r="H116" s="46">
        <f>SmtRes!CZ22</f>
        <v>155.63</v>
      </c>
      <c r="I116" s="47">
        <f>SmtRes!AI22</f>
        <v>0.78</v>
      </c>
      <c r="J116" s="46">
        <f>ROUND(H116*I116,2)</f>
        <v>121.39</v>
      </c>
      <c r="K116" s="47"/>
      <c r="L116" s="46">
        <f>SmtRes!DF22</f>
        <v>14.57</v>
      </c>
    </row>
    <row r="117" spans="1:82" ht="14.4" x14ac:dyDescent="0.25">
      <c r="A117" s="43"/>
      <c r="B117" s="43" t="str">
        <f>EtalonRes!I23</f>
        <v>18.1.09.06</v>
      </c>
      <c r="C117" s="43" t="str">
        <f>EtalonRes!K23</f>
        <v>Арматура трубопроводная муфтовая</v>
      </c>
      <c r="D117" s="44" t="str">
        <f>EtalonRes!O23</f>
        <v>ШТ</v>
      </c>
      <c r="E117" s="45">
        <f>EtalonRes!X23</f>
        <v>0</v>
      </c>
      <c r="F117" s="45"/>
      <c r="G117" s="45">
        <f>ROUND(EtalonRes!AG23*Source!I33,7)</f>
        <v>0</v>
      </c>
      <c r="H117" s="46"/>
      <c r="I117" s="47"/>
      <c r="J117" s="46"/>
      <c r="K117" s="47"/>
      <c r="L117" s="46"/>
    </row>
    <row r="118" spans="1:82" ht="14.4" x14ac:dyDescent="0.25">
      <c r="A118" s="43"/>
      <c r="B118" s="43" t="str">
        <f>EtalonRes!I24</f>
        <v>18.2.07.01</v>
      </c>
      <c r="C118" s="43" t="str">
        <f>EtalonRes!K24</f>
        <v>Трубопроводы с гильзами</v>
      </c>
      <c r="D118" s="44" t="str">
        <f>EtalonRes!O24</f>
        <v>м</v>
      </c>
      <c r="E118" s="45">
        <f>EtalonRes!X24</f>
        <v>100</v>
      </c>
      <c r="F118" s="45"/>
      <c r="G118" s="45">
        <f>ROUND(EtalonRes!AG24*Source!I33,7)</f>
        <v>2</v>
      </c>
      <c r="H118" s="46"/>
      <c r="I118" s="47"/>
      <c r="J118" s="46"/>
      <c r="K118" s="47"/>
      <c r="L118" s="46"/>
    </row>
    <row r="119" spans="1:82" ht="14.4" x14ac:dyDescent="0.25">
      <c r="A119" s="43"/>
      <c r="B119" s="43" t="str">
        <f>EtalonRes!I25</f>
        <v>23.1.02.07</v>
      </c>
      <c r="C119" s="52" t="str">
        <f>EtalonRes!K25</f>
        <v>Крепления</v>
      </c>
      <c r="D119" s="53" t="str">
        <f>EtalonRes!O25</f>
        <v>кг</v>
      </c>
      <c r="E119" s="54">
        <f>EtalonRes!X25</f>
        <v>0</v>
      </c>
      <c r="F119" s="54"/>
      <c r="G119" s="54">
        <f>ROUND(EtalonRes!AG25*Source!I33,7)</f>
        <v>0</v>
      </c>
      <c r="H119" s="55"/>
      <c r="I119" s="56"/>
      <c r="J119" s="55"/>
      <c r="K119" s="56"/>
      <c r="L119" s="55"/>
    </row>
    <row r="120" spans="1:82" ht="14.4" x14ac:dyDescent="0.25">
      <c r="A120" s="43"/>
      <c r="B120" s="43"/>
      <c r="C120" s="57" t="s">
        <v>70</v>
      </c>
      <c r="D120" s="44"/>
      <c r="E120" s="45"/>
      <c r="F120" s="45"/>
      <c r="G120" s="45"/>
      <c r="H120" s="46"/>
      <c r="I120" s="47"/>
      <c r="J120" s="46"/>
      <c r="K120" s="47"/>
      <c r="L120" s="46">
        <f>L102+L104+L105+L112</f>
        <v>2599.41</v>
      </c>
    </row>
    <row r="121" spans="1:82" ht="55.2" x14ac:dyDescent="0.25">
      <c r="A121" s="75" t="s">
        <v>112</v>
      </c>
      <c r="B121" s="43" t="str">
        <f>Source!F34</f>
        <v>23.3.06.02-0009</v>
      </c>
      <c r="C121" s="43" t="str">
        <f>Source!G34</f>
        <v>Трубы стальные сварные оцинкованные водогазопроводные с резьбой, обыкновенные, номинальный диаметр 90 мм, толщина стенки 4 мм</v>
      </c>
      <c r="D121" s="44" t="str">
        <f>Source!H34</f>
        <v>м</v>
      </c>
      <c r="E121" s="45">
        <f>SmtRes!AT23</f>
        <v>100</v>
      </c>
      <c r="F121" s="45"/>
      <c r="G121" s="45">
        <f>Source!I34</f>
        <v>2</v>
      </c>
      <c r="H121" s="46">
        <f>Source!AL34+Source!AO34+Source!AM34+Source!AN34</f>
        <v>960.41</v>
      </c>
      <c r="I121" s="47">
        <f>IF(Source!BC34&lt;&gt;0,Source!BC34,1)</f>
        <v>0.8</v>
      </c>
      <c r="J121" s="46">
        <f>ROUND(H121*I121,2)</f>
        <v>768.33</v>
      </c>
      <c r="K121" s="47"/>
      <c r="L121" s="46">
        <f>Source!P34</f>
        <v>1536.66</v>
      </c>
      <c r="AD121">
        <f>ROUND((Source!AT34/100)*((ROUND(ROUND(Source!AO34,2)*Source!I34,2)+ROUND(ROUND(Source!AN34,2)*Source!I34,2))),2)</f>
        <v>0</v>
      </c>
      <c r="AE121">
        <f>ROUND((Source!AU34/100)*((ROUND(ROUND(Source!AO34,2)*Source!I34,2)+ROUND(ROUND(Source!AN34,2)*Source!I34,2))),2)</f>
        <v>0</v>
      </c>
      <c r="AN121">
        <f>L121</f>
        <v>1536.66</v>
      </c>
      <c r="AW121">
        <f>L121</f>
        <v>1536.66</v>
      </c>
      <c r="AZ121">
        <f>Source!X34</f>
        <v>0</v>
      </c>
      <c r="BA121">
        <f>Source!Y34</f>
        <v>0</v>
      </c>
      <c r="CD121">
        <v>1</v>
      </c>
    </row>
    <row r="122" spans="1:82" ht="82.8" x14ac:dyDescent="0.25">
      <c r="A122" s="75" t="s">
        <v>113</v>
      </c>
      <c r="B122" s="43" t="str">
        <f>Source!F35</f>
        <v>24.1.02.01-0022</v>
      </c>
      <c r="C122" s="43" t="str">
        <f>Source!G35</f>
        <v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80 до 86 мм</v>
      </c>
      <c r="D122" s="44" t="str">
        <f>Source!H35</f>
        <v>ШТ</v>
      </c>
      <c r="E122" s="45">
        <f>SmtRes!AT24</f>
        <v>100</v>
      </c>
      <c r="F122" s="45"/>
      <c r="G122" s="45">
        <f>Source!I35</f>
        <v>2</v>
      </c>
      <c r="H122" s="46">
        <f>Source!AL35+Source!AO35+Source!AM35+Source!AN35</f>
        <v>130.96</v>
      </c>
      <c r="I122" s="47">
        <f>IF(Source!BC35&lt;&gt;0,Source!BC35,1)</f>
        <v>1.24</v>
      </c>
      <c r="J122" s="46">
        <f>ROUND(H122*I122,2)</f>
        <v>162.38999999999999</v>
      </c>
      <c r="K122" s="47"/>
      <c r="L122" s="46">
        <f>Source!P35</f>
        <v>324.77999999999997</v>
      </c>
      <c r="AD122">
        <f>ROUND((Source!AT35/100)*((ROUND(ROUND(Source!AO35,2)*Source!I35,2)+ROUND(ROUND(Source!AN35,2)*Source!I35,2))),2)</f>
        <v>0</v>
      </c>
      <c r="AE122">
        <f>ROUND((Source!AU35/100)*((ROUND(ROUND(Source!AO35,2)*Source!I35,2)+ROUND(ROUND(Source!AN35,2)*Source!I35,2))),2)</f>
        <v>0</v>
      </c>
      <c r="AN122">
        <f>L122</f>
        <v>324.77999999999997</v>
      </c>
      <c r="AW122">
        <f>L122</f>
        <v>324.77999999999997</v>
      </c>
      <c r="AZ122">
        <f>Source!X35</f>
        <v>0</v>
      </c>
      <c r="BA122">
        <f>Source!Y35</f>
        <v>0</v>
      </c>
      <c r="CD122">
        <v>1</v>
      </c>
    </row>
    <row r="123" spans="1:82" ht="14.4" x14ac:dyDescent="0.25">
      <c r="A123" s="43"/>
      <c r="B123" s="43"/>
      <c r="C123" s="43" t="s">
        <v>71</v>
      </c>
      <c r="D123" s="44"/>
      <c r="E123" s="45"/>
      <c r="F123" s="45"/>
      <c r="G123" s="45"/>
      <c r="H123" s="46"/>
      <c r="I123" s="47"/>
      <c r="J123" s="46"/>
      <c r="K123" s="47"/>
      <c r="L123" s="46">
        <f>SUM(AR100:AR126)+SUM(AS100:AS126)+SUM(AT100:AT126)+SUM(AU100:AU126)+SUM(AV100:AV126)</f>
        <v>2534.11</v>
      </c>
    </row>
    <row r="124" spans="1:82" ht="41.4" x14ac:dyDescent="0.25">
      <c r="A124" s="43"/>
      <c r="B124" s="43" t="s">
        <v>90</v>
      </c>
      <c r="C124" s="43" t="s">
        <v>91</v>
      </c>
      <c r="D124" s="44" t="s">
        <v>74</v>
      </c>
      <c r="E124" s="45">
        <f>Source!BZ33</f>
        <v>103</v>
      </c>
      <c r="F124" s="45"/>
      <c r="G124" s="45">
        <f>Source!AT33</f>
        <v>103</v>
      </c>
      <c r="H124" s="46"/>
      <c r="I124" s="47"/>
      <c r="J124" s="46"/>
      <c r="K124" s="47"/>
      <c r="L124" s="46">
        <f>SUM(AZ100:AZ126)</f>
        <v>2610.13</v>
      </c>
    </row>
    <row r="125" spans="1:82" ht="41.4" x14ac:dyDescent="0.25">
      <c r="A125" s="52"/>
      <c r="B125" s="52" t="s">
        <v>92</v>
      </c>
      <c r="C125" s="52" t="s">
        <v>93</v>
      </c>
      <c r="D125" s="53" t="s">
        <v>74</v>
      </c>
      <c r="E125" s="54">
        <f>Source!CA33</f>
        <v>52</v>
      </c>
      <c r="F125" s="54"/>
      <c r="G125" s="54">
        <f>Source!AU33</f>
        <v>52</v>
      </c>
      <c r="H125" s="55"/>
      <c r="I125" s="56"/>
      <c r="J125" s="55"/>
      <c r="K125" s="56"/>
      <c r="L125" s="55">
        <f>SUM(BA100:BA126)</f>
        <v>1317.74</v>
      </c>
    </row>
    <row r="126" spans="1:82" ht="13.8" x14ac:dyDescent="0.25">
      <c r="C126" s="103" t="s">
        <v>77</v>
      </c>
      <c r="D126" s="103"/>
      <c r="E126" s="103"/>
      <c r="F126" s="103"/>
      <c r="G126" s="103"/>
      <c r="H126" s="103"/>
      <c r="I126" s="104">
        <f>IF(E100&lt;&gt;0,K126/E100,0)</f>
        <v>419435.99999999994</v>
      </c>
      <c r="J126" s="104"/>
      <c r="K126" s="104">
        <f>L102+L104+L112+L124+L125+L105+SUM(L121:L122)</f>
        <v>8388.7199999999993</v>
      </c>
      <c r="L126" s="104"/>
      <c r="AD126">
        <f>ROUND((Source!AT33/100)*((ROUND(SUMIF(SmtRes!AQ13:'SmtRes'!AQ24,"=1",SmtRes!AD13:'SmtRes'!AD24)*Source!I33,2)+ROUND(SUMIF(SmtRes!AQ13:'SmtRes'!AQ24,"=1",SmtRes!AC13:'SmtRes'!AC24)*Source!I33,2))),2)</f>
        <v>42.96</v>
      </c>
      <c r="AE126">
        <f>ROUND((Source!AU33/100)*((ROUND(SUMIF(SmtRes!AQ13:'SmtRes'!AQ24,"=1",SmtRes!AD13:'SmtRes'!AD24)*Source!I33,2)+ROUND(SUMIF(SmtRes!AQ13:'SmtRes'!AQ24,"=1",SmtRes!AC13:'SmtRes'!AC24)*Source!I33,2))),2)</f>
        <v>21.69</v>
      </c>
      <c r="AN126" s="59">
        <f>L102+L104+L112+L124+L125+L105</f>
        <v>6527.2799999999988</v>
      </c>
      <c r="AO126" s="59">
        <f>L104</f>
        <v>22.700000000000003</v>
      </c>
      <c r="AQ126" t="s">
        <v>78</v>
      </c>
      <c r="AR126" s="59">
        <f>L102</f>
        <v>2524.29</v>
      </c>
      <c r="AT126" s="59">
        <f>L105</f>
        <v>9.82</v>
      </c>
      <c r="AV126" t="s">
        <v>78</v>
      </c>
      <c r="AW126" s="59">
        <f>L112</f>
        <v>42.6</v>
      </c>
      <c r="AZ126">
        <f>Source!X33</f>
        <v>2610.13</v>
      </c>
      <c r="BA126">
        <f>Source!Y33</f>
        <v>1317.74</v>
      </c>
      <c r="CD126">
        <v>1</v>
      </c>
    </row>
    <row r="127" spans="1:82" ht="120" x14ac:dyDescent="0.25">
      <c r="A127" s="75" t="s">
        <v>114</v>
      </c>
      <c r="B127" s="43" t="s">
        <v>115</v>
      </c>
      <c r="C127" s="43" t="s">
        <v>116</v>
      </c>
      <c r="D127" s="44" t="str">
        <f>Source!H36</f>
        <v>100 м2</v>
      </c>
      <c r="E127" s="45">
        <f>Source!K36</f>
        <v>5.5900000000000004E-3</v>
      </c>
      <c r="F127" s="45"/>
      <c r="G127" s="45">
        <f>Source!I36</f>
        <v>5.5900000000000004E-3</v>
      </c>
      <c r="H127" s="46"/>
      <c r="I127" s="47"/>
      <c r="J127" s="46"/>
      <c r="K127" s="47"/>
      <c r="L127" s="46"/>
    </row>
    <row r="128" spans="1:82" ht="171.6" x14ac:dyDescent="0.25">
      <c r="B128" s="60" t="str">
        <f>Source!EO36</f>
        <v>Поправка: 421/пр_2020_п.58_пп.б</v>
      </c>
      <c r="C128" s="60" t="str">
        <f>Source!CN36</f>
        <v>Поправка: 421/пр_2020_п.58_пп.б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129" spans="1:83" x14ac:dyDescent="0.25">
      <c r="C129" s="48" t="str">
        <f>"Объем: "&amp;Source!I36&amp;"=0,559/"&amp;"100"</f>
        <v>Объем: 0,00559=0,559/100</v>
      </c>
    </row>
    <row r="130" spans="1:83" ht="14.4" x14ac:dyDescent="0.25">
      <c r="A130" s="49"/>
      <c r="B130" s="45">
        <v>1</v>
      </c>
      <c r="C130" s="49" t="s">
        <v>52</v>
      </c>
      <c r="D130" s="44" t="s">
        <v>31</v>
      </c>
      <c r="E130" s="50"/>
      <c r="F130" s="45"/>
      <c r="G130" s="45">
        <f>Source!U36</f>
        <v>6.8270700000000004E-2</v>
      </c>
      <c r="H130" s="45"/>
      <c r="I130" s="45"/>
      <c r="J130" s="45"/>
      <c r="K130" s="45"/>
      <c r="L130" s="51">
        <f>SUM(L131:L131)-SUMIF(CE131:CE131,1,L131:L131)</f>
        <v>54.44</v>
      </c>
    </row>
    <row r="131" spans="1:83" ht="14.4" x14ac:dyDescent="0.25">
      <c r="A131" s="43"/>
      <c r="B131" s="43" t="s">
        <v>117</v>
      </c>
      <c r="C131" s="43" t="s">
        <v>118</v>
      </c>
      <c r="D131" s="44" t="s">
        <v>31</v>
      </c>
      <c r="E131" s="45">
        <v>5.31</v>
      </c>
      <c r="F131" s="45">
        <f>ROUND(1.15*2,7)</f>
        <v>2.2999999999999998</v>
      </c>
      <c r="G131" s="45">
        <f>SmtRes!CX25</f>
        <v>6.8270700000000004E-2</v>
      </c>
      <c r="H131" s="46"/>
      <c r="I131" s="47"/>
      <c r="J131" s="46">
        <f>SmtRes!CZ25</f>
        <v>797.48</v>
      </c>
      <c r="K131" s="47"/>
      <c r="L131" s="46">
        <f>SmtRes!DI25</f>
        <v>54.44</v>
      </c>
    </row>
    <row r="132" spans="1:83" ht="14.4" x14ac:dyDescent="0.25">
      <c r="A132" s="49"/>
      <c r="B132" s="45">
        <v>2</v>
      </c>
      <c r="C132" s="49" t="s">
        <v>55</v>
      </c>
      <c r="D132" s="44"/>
      <c r="E132" s="50"/>
      <c r="F132" s="45"/>
      <c r="G132" s="45"/>
      <c r="H132" s="45"/>
      <c r="I132" s="45"/>
      <c r="J132" s="45"/>
      <c r="K132" s="45"/>
      <c r="L132" s="51">
        <f>SUM(L133:L139)-SUMIF(CE133:CE139,1,L133:L139)</f>
        <v>0.4</v>
      </c>
    </row>
    <row r="133" spans="1:83" ht="14.4" x14ac:dyDescent="0.25">
      <c r="A133" s="49"/>
      <c r="B133" s="45"/>
      <c r="C133" s="49" t="s">
        <v>56</v>
      </c>
      <c r="D133" s="44" t="s">
        <v>31</v>
      </c>
      <c r="E133" s="50"/>
      <c r="F133" s="45"/>
      <c r="G133" s="45">
        <f>Source!V36</f>
        <v>2.7960000000000002E-4</v>
      </c>
      <c r="H133" s="45"/>
      <c r="I133" s="45"/>
      <c r="J133" s="45"/>
      <c r="K133" s="45"/>
      <c r="L133" s="51">
        <f>SUMIF(CE134:CE139,1,L134:L139)</f>
        <v>0.22</v>
      </c>
      <c r="CE133">
        <v>1</v>
      </c>
    </row>
    <row r="134" spans="1:83" ht="27.6" x14ac:dyDescent="0.25">
      <c r="A134" s="43"/>
      <c r="B134" s="43" t="s">
        <v>119</v>
      </c>
      <c r="C134" s="43" t="s">
        <v>120</v>
      </c>
      <c r="D134" s="44" t="s">
        <v>59</v>
      </c>
      <c r="E134" s="45">
        <v>0.01</v>
      </c>
      <c r="F134" s="45">
        <f t="shared" ref="F134:F139" si="0">ROUND(1.25*2,7)</f>
        <v>2.5</v>
      </c>
      <c r="G134" s="45">
        <f>SmtRes!CX27</f>
        <v>1.3980000000000001E-4</v>
      </c>
      <c r="H134" s="46">
        <f>SmtRes!CZ27</f>
        <v>6.62</v>
      </c>
      <c r="I134" s="47">
        <f>SmtRes!AJ27</f>
        <v>1.48</v>
      </c>
      <c r="J134" s="46">
        <f>ROUND(H134*I134,2)</f>
        <v>9.8000000000000007</v>
      </c>
      <c r="K134" s="47"/>
      <c r="L134" s="46">
        <f>SmtRes!DG27</f>
        <v>0</v>
      </c>
    </row>
    <row r="135" spans="1:83" ht="69" x14ac:dyDescent="0.25">
      <c r="A135" s="43"/>
      <c r="B135" s="43" t="s">
        <v>121</v>
      </c>
      <c r="C135" s="43" t="s">
        <v>122</v>
      </c>
      <c r="D135" s="44" t="s">
        <v>59</v>
      </c>
      <c r="E135" s="45">
        <v>0.01</v>
      </c>
      <c r="F135" s="45">
        <f t="shared" si="0"/>
        <v>2.5</v>
      </c>
      <c r="G135" s="45">
        <f>SmtRes!CX28</f>
        <v>1.3980000000000001E-4</v>
      </c>
      <c r="H135" s="46"/>
      <c r="I135" s="47"/>
      <c r="J135" s="46">
        <f>SmtRes!CZ28</f>
        <v>1593.71</v>
      </c>
      <c r="K135" s="47"/>
      <c r="L135" s="46">
        <f>SmtRes!DG28</f>
        <v>0.22</v>
      </c>
    </row>
    <row r="136" spans="1:83" ht="14.4" x14ac:dyDescent="0.25">
      <c r="A136" s="43"/>
      <c r="B136" s="43" t="s">
        <v>123</v>
      </c>
      <c r="C136" s="43" t="s">
        <v>124</v>
      </c>
      <c r="D136" s="44" t="s">
        <v>31</v>
      </c>
      <c r="E136" s="45">
        <f>SmtRes!DO28*SmtRes!AT28</f>
        <v>0.01</v>
      </c>
      <c r="F136" s="45">
        <f t="shared" si="0"/>
        <v>2.5</v>
      </c>
      <c r="G136" s="45">
        <f>ROUND(E136*F136*G127,7)</f>
        <v>1.3980000000000001E-4</v>
      </c>
      <c r="H136" s="46"/>
      <c r="I136" s="47"/>
      <c r="J136" s="46">
        <f>ROUND(SmtRes!AG28/SmtRes!DO28,2)</f>
        <v>829.81</v>
      </c>
      <c r="K136" s="47"/>
      <c r="L136" s="46">
        <f>SmtRes!DH28</f>
        <v>0.12</v>
      </c>
      <c r="CE136">
        <v>1</v>
      </c>
    </row>
    <row r="137" spans="1:83" ht="27.6" x14ac:dyDescent="0.25">
      <c r="A137" s="43"/>
      <c r="B137" s="43" t="s">
        <v>62</v>
      </c>
      <c r="C137" s="43" t="s">
        <v>63</v>
      </c>
      <c r="D137" s="44" t="s">
        <v>59</v>
      </c>
      <c r="E137" s="45">
        <v>0.01</v>
      </c>
      <c r="F137" s="45">
        <f t="shared" si="0"/>
        <v>2.5</v>
      </c>
      <c r="G137" s="45">
        <f>SmtRes!CX29</f>
        <v>1.3980000000000001E-4</v>
      </c>
      <c r="H137" s="46"/>
      <c r="I137" s="47"/>
      <c r="J137" s="46">
        <f>SmtRes!CZ29</f>
        <v>643.29</v>
      </c>
      <c r="K137" s="47"/>
      <c r="L137" s="46">
        <f>SmtRes!DG29</f>
        <v>0.09</v>
      </c>
    </row>
    <row r="138" spans="1:83" ht="14.4" x14ac:dyDescent="0.25">
      <c r="A138" s="43"/>
      <c r="B138" s="43" t="s">
        <v>64</v>
      </c>
      <c r="C138" s="43" t="s">
        <v>65</v>
      </c>
      <c r="D138" s="44" t="s">
        <v>31</v>
      </c>
      <c r="E138" s="45">
        <f>SmtRes!DO29*SmtRes!AT29</f>
        <v>0.01</v>
      </c>
      <c r="F138" s="45">
        <f t="shared" si="0"/>
        <v>2.5</v>
      </c>
      <c r="G138" s="45">
        <f>ROUND(E138*F138*G127,7)</f>
        <v>1.3980000000000001E-4</v>
      </c>
      <c r="H138" s="46"/>
      <c r="I138" s="47"/>
      <c r="J138" s="46">
        <f>ROUND(SmtRes!AG29/SmtRes!DO29,2)</f>
        <v>722.05</v>
      </c>
      <c r="K138" s="47"/>
      <c r="L138" s="46">
        <f>SmtRes!DH29</f>
        <v>0.1</v>
      </c>
      <c r="CE138">
        <v>1</v>
      </c>
    </row>
    <row r="139" spans="1:83" ht="41.4" x14ac:dyDescent="0.25">
      <c r="A139" s="43"/>
      <c r="B139" s="43" t="s">
        <v>125</v>
      </c>
      <c r="C139" s="43" t="s">
        <v>126</v>
      </c>
      <c r="D139" s="44" t="s">
        <v>59</v>
      </c>
      <c r="E139" s="45">
        <v>1.1200000000000001</v>
      </c>
      <c r="F139" s="45">
        <f t="shared" si="0"/>
        <v>2.5</v>
      </c>
      <c r="G139" s="45">
        <f>SmtRes!CX30</f>
        <v>1.5651999999999999E-2</v>
      </c>
      <c r="H139" s="46">
        <f>SmtRes!CZ30</f>
        <v>4.5199999999999996</v>
      </c>
      <c r="I139" s="47">
        <f>SmtRes!AJ30</f>
        <v>1.29</v>
      </c>
      <c r="J139" s="46">
        <f>ROUND(H139*I139,2)</f>
        <v>5.83</v>
      </c>
      <c r="K139" s="47"/>
      <c r="L139" s="46">
        <f>SmtRes!DG30</f>
        <v>0.09</v>
      </c>
    </row>
    <row r="140" spans="1:83" ht="14.4" x14ac:dyDescent="0.25">
      <c r="A140" s="49"/>
      <c r="B140" s="45">
        <v>4</v>
      </c>
      <c r="C140" s="49" t="s">
        <v>66</v>
      </c>
      <c r="D140" s="44"/>
      <c r="E140" s="50"/>
      <c r="F140" s="45"/>
      <c r="G140" s="45"/>
      <c r="H140" s="45"/>
      <c r="I140" s="45"/>
      <c r="J140" s="45"/>
      <c r="K140" s="45"/>
      <c r="L140" s="51">
        <f>SUM(L141:L142)-SUMIF(CE141:CE142,1,L141:L142)</f>
        <v>9.7800000000000011</v>
      </c>
    </row>
    <row r="141" spans="1:83" ht="14.4" x14ac:dyDescent="0.25">
      <c r="A141" s="43"/>
      <c r="B141" s="43" t="s">
        <v>127</v>
      </c>
      <c r="C141" s="43" t="s">
        <v>128</v>
      </c>
      <c r="D141" s="44" t="s">
        <v>87</v>
      </c>
      <c r="E141" s="45">
        <v>8.9999999999999993E-3</v>
      </c>
      <c r="F141" s="45">
        <f>ROUND(2,7)</f>
        <v>2</v>
      </c>
      <c r="G141" s="45">
        <f>SmtRes!CX31</f>
        <v>1.0060000000000001E-4</v>
      </c>
      <c r="H141" s="46">
        <f>SmtRes!CZ31</f>
        <v>51280.15</v>
      </c>
      <c r="I141" s="47">
        <f>SmtRes!AI31</f>
        <v>1.54</v>
      </c>
      <c r="J141" s="46">
        <f>ROUND(H141*I141,2)</f>
        <v>78971.429999999993</v>
      </c>
      <c r="K141" s="47"/>
      <c r="L141" s="46">
        <f>SmtRes!DF31</f>
        <v>7.94</v>
      </c>
    </row>
    <row r="142" spans="1:83" ht="14.4" x14ac:dyDescent="0.25">
      <c r="A142" s="43"/>
      <c r="B142" s="43" t="s">
        <v>129</v>
      </c>
      <c r="C142" s="52" t="s">
        <v>130</v>
      </c>
      <c r="D142" s="53" t="s">
        <v>87</v>
      </c>
      <c r="E142" s="54">
        <v>1.5E-3</v>
      </c>
      <c r="F142" s="54">
        <f>ROUND(2,7)</f>
        <v>2</v>
      </c>
      <c r="G142" s="54">
        <f>SmtRes!CX32</f>
        <v>1.6799999999999998E-5</v>
      </c>
      <c r="H142" s="55">
        <f>SmtRes!CZ32</f>
        <v>75885.63</v>
      </c>
      <c r="I142" s="56">
        <f>SmtRes!AI32</f>
        <v>1.44</v>
      </c>
      <c r="J142" s="55">
        <f>ROUND(H142*I142,2)</f>
        <v>109275.31</v>
      </c>
      <c r="K142" s="56"/>
      <c r="L142" s="55">
        <f>SmtRes!DF32</f>
        <v>1.84</v>
      </c>
    </row>
    <row r="143" spans="1:83" ht="14.4" x14ac:dyDescent="0.25">
      <c r="A143" s="43"/>
      <c r="B143" s="43"/>
      <c r="C143" s="57" t="s">
        <v>70</v>
      </c>
      <c r="D143" s="44"/>
      <c r="E143" s="45"/>
      <c r="F143" s="45"/>
      <c r="G143" s="45"/>
      <c r="H143" s="46"/>
      <c r="I143" s="47"/>
      <c r="J143" s="46"/>
      <c r="K143" s="47"/>
      <c r="L143" s="46">
        <f>L130+L132+L133+L140</f>
        <v>64.84</v>
      </c>
    </row>
    <row r="144" spans="1:83" ht="14.4" x14ac:dyDescent="0.25">
      <c r="A144" s="43"/>
      <c r="B144" s="43"/>
      <c r="C144" s="43" t="s">
        <v>71</v>
      </c>
      <c r="D144" s="44"/>
      <c r="E144" s="45"/>
      <c r="F144" s="45"/>
      <c r="G144" s="45"/>
      <c r="H144" s="46"/>
      <c r="I144" s="47"/>
      <c r="J144" s="46"/>
      <c r="K144" s="47"/>
      <c r="L144" s="46">
        <f>SUM(AR127:AR147)+SUM(AS127:AS147)+SUM(AT127:AT147)+SUM(AU127:AU147)+SUM(AV127:AV147)</f>
        <v>54.66</v>
      </c>
    </row>
    <row r="145" spans="1:101" ht="27.6" x14ac:dyDescent="0.25">
      <c r="A145" s="43"/>
      <c r="B145" s="43" t="s">
        <v>131</v>
      </c>
      <c r="C145" s="43" t="s">
        <v>132</v>
      </c>
      <c r="D145" s="44" t="s">
        <v>74</v>
      </c>
      <c r="E145" s="45">
        <f>Source!BZ36</f>
        <v>94</v>
      </c>
      <c r="F145" s="45">
        <f>ROUND(0.9,7)</f>
        <v>0.9</v>
      </c>
      <c r="G145" s="45">
        <f>Source!AT36</f>
        <v>84.6</v>
      </c>
      <c r="H145" s="46"/>
      <c r="I145" s="47"/>
      <c r="J145" s="46"/>
      <c r="K145" s="47"/>
      <c r="L145" s="46">
        <f>SUM(AZ127:AZ147)</f>
        <v>46.24</v>
      </c>
    </row>
    <row r="146" spans="1:101" ht="27.6" x14ac:dyDescent="0.25">
      <c r="A146" s="52"/>
      <c r="B146" s="52" t="s">
        <v>133</v>
      </c>
      <c r="C146" s="52" t="s">
        <v>134</v>
      </c>
      <c r="D146" s="53" t="s">
        <v>74</v>
      </c>
      <c r="E146" s="54">
        <f>Source!CA36</f>
        <v>51</v>
      </c>
      <c r="F146" s="54">
        <f>ROUND(0.85,7)</f>
        <v>0.85</v>
      </c>
      <c r="G146" s="54">
        <f>Source!AU36</f>
        <v>43.35</v>
      </c>
      <c r="H146" s="55"/>
      <c r="I146" s="56"/>
      <c r="J146" s="55"/>
      <c r="K146" s="56"/>
      <c r="L146" s="55">
        <f>SUM(BA127:BA147)</f>
        <v>23.7</v>
      </c>
    </row>
    <row r="147" spans="1:101" ht="13.8" x14ac:dyDescent="0.25">
      <c r="C147" s="103" t="s">
        <v>77</v>
      </c>
      <c r="D147" s="103"/>
      <c r="E147" s="103"/>
      <c r="F147" s="103"/>
      <c r="G147" s="103"/>
      <c r="H147" s="103"/>
      <c r="I147" s="104">
        <f>IF(E127&lt;&gt;0,K147/E127,0)</f>
        <v>24110.912343470482</v>
      </c>
      <c r="J147" s="104"/>
      <c r="K147" s="104">
        <f>L130+L132+L140+L145+L146+L133</f>
        <v>134.78</v>
      </c>
      <c r="L147" s="104"/>
      <c r="AD147">
        <f>ROUND((Source!AT36/100)*((ROUND(SUMIF(SmtRes!AQ25:'SmtRes'!AQ32,"=1",SmtRes!AD25:'SmtRes'!AD32)*Source!I36,2)+ROUND(SUMIF(SmtRes!AQ25:'SmtRes'!AQ32,"=1",SmtRes!AC25:'SmtRes'!AC32)*Source!I36,2))),2)</f>
        <v>11.11</v>
      </c>
      <c r="AE147">
        <f>ROUND((Source!AU36/100)*((ROUND(SUMIF(SmtRes!AQ25:'SmtRes'!AQ32,"=1",SmtRes!AD25:'SmtRes'!AD32)*Source!I36,2)+ROUND(SUMIF(SmtRes!AQ25:'SmtRes'!AQ32,"=1",SmtRes!AC25:'SmtRes'!AC32)*Source!I36,2))),2)</f>
        <v>5.69</v>
      </c>
      <c r="AN147" s="59">
        <f>L130+L132+L140+L145+L146+L133</f>
        <v>134.78</v>
      </c>
      <c r="AO147" s="59">
        <f>L132</f>
        <v>0.4</v>
      </c>
      <c r="AQ147" t="s">
        <v>78</v>
      </c>
      <c r="AR147" s="59">
        <f>L130</f>
        <v>54.44</v>
      </c>
      <c r="AT147" s="59">
        <f>L133</f>
        <v>0.22</v>
      </c>
      <c r="AV147" t="s">
        <v>78</v>
      </c>
      <c r="AW147" s="59">
        <f>L140</f>
        <v>9.7800000000000011</v>
      </c>
      <c r="AZ147">
        <f>Source!X36</f>
        <v>46.24</v>
      </c>
      <c r="BA147">
        <f>Source!Y36</f>
        <v>23.7</v>
      </c>
      <c r="CD147">
        <v>1</v>
      </c>
    </row>
    <row r="148" spans="1:101" ht="55.2" x14ac:dyDescent="0.25">
      <c r="A148" s="75" t="s">
        <v>135</v>
      </c>
      <c r="B148" s="43" t="s">
        <v>136</v>
      </c>
      <c r="C148" s="43" t="str">
        <f>Source!G37</f>
        <v>Масляная окраска металлических поверхностей: решеток, переплетов, труб диаметром менее 50 мм и т.п., количество окрасок 2</v>
      </c>
      <c r="D148" s="44" t="str">
        <f>Source!H37</f>
        <v>100 м2</v>
      </c>
      <c r="E148" s="45">
        <f>Source!K37</f>
        <v>5.5900000000000004E-3</v>
      </c>
      <c r="F148" s="45"/>
      <c r="G148" s="45">
        <f>Source!I37</f>
        <v>5.5900000000000004E-3</v>
      </c>
      <c r="H148" s="46"/>
      <c r="I148" s="47"/>
      <c r="J148" s="46"/>
      <c r="K148" s="47"/>
      <c r="L148" s="46"/>
    </row>
    <row r="149" spans="1:101" ht="52.8" x14ac:dyDescent="0.25">
      <c r="B149" s="60" t="s">
        <v>137</v>
      </c>
      <c r="C149" s="106" t="s">
        <v>138</v>
      </c>
      <c r="D149" s="106"/>
      <c r="E149" s="106"/>
      <c r="F149" s="106"/>
      <c r="G149" s="106"/>
      <c r="H149" s="106"/>
      <c r="I149" s="106"/>
      <c r="J149" s="106"/>
      <c r="K149" s="106"/>
      <c r="L149" s="106"/>
      <c r="CW149" s="77" t="s">
        <v>138</v>
      </c>
    </row>
    <row r="150" spans="1:101" x14ac:dyDescent="0.25">
      <c r="C150" s="48" t="str">
        <f>"Объем: "&amp;Source!I37&amp;"=0,559/"&amp;"100"</f>
        <v>Объем: 0,00559=0,559/100</v>
      </c>
    </row>
    <row r="151" spans="1:101" ht="14.4" x14ac:dyDescent="0.25">
      <c r="A151" s="49"/>
      <c r="B151" s="45">
        <v>1</v>
      </c>
      <c r="C151" s="49" t="s">
        <v>52</v>
      </c>
      <c r="D151" s="44" t="s">
        <v>31</v>
      </c>
      <c r="E151" s="50"/>
      <c r="F151" s="45"/>
      <c r="G151" s="45">
        <f>Source!U37</f>
        <v>0.41528110000000001</v>
      </c>
      <c r="H151" s="45"/>
      <c r="I151" s="45"/>
      <c r="J151" s="45"/>
      <c r="K151" s="45"/>
      <c r="L151" s="51">
        <f>SUM(L152:L152)-SUMIF(CE152:CE152,1,L152:L152)</f>
        <v>276.36</v>
      </c>
    </row>
    <row r="152" spans="1:101" ht="14.4" x14ac:dyDescent="0.25">
      <c r="A152" s="43"/>
      <c r="B152" s="43" t="s">
        <v>139</v>
      </c>
      <c r="C152" s="43" t="s">
        <v>140</v>
      </c>
      <c r="D152" s="44" t="s">
        <v>31</v>
      </c>
      <c r="E152" s="45">
        <v>64.599999999999994</v>
      </c>
      <c r="F152" s="45">
        <f>ROUND(1.15,7)</f>
        <v>1.1499999999999999</v>
      </c>
      <c r="G152" s="45">
        <f>SmtRes!CX33</f>
        <v>0.41528110000000001</v>
      </c>
      <c r="H152" s="46"/>
      <c r="I152" s="47"/>
      <c r="J152" s="46">
        <f>SmtRes!CZ33</f>
        <v>665.47</v>
      </c>
      <c r="K152" s="47"/>
      <c r="L152" s="46">
        <f>SmtRes!DI33</f>
        <v>276.36</v>
      </c>
    </row>
    <row r="153" spans="1:101" ht="14.4" x14ac:dyDescent="0.25">
      <c r="A153" s="49"/>
      <c r="B153" s="45">
        <v>2</v>
      </c>
      <c r="C153" s="49" t="s">
        <v>55</v>
      </c>
      <c r="D153" s="44"/>
      <c r="E153" s="50"/>
      <c r="F153" s="45"/>
      <c r="G153" s="45"/>
      <c r="H153" s="45"/>
      <c r="I153" s="45"/>
      <c r="J153" s="45"/>
      <c r="K153" s="45"/>
      <c r="L153" s="51">
        <f>SUM(L154:L158)-SUMIF(CE154:CE158,1,L154:L158)</f>
        <v>0.13</v>
      </c>
    </row>
    <row r="154" spans="1:101" ht="14.4" x14ac:dyDescent="0.25">
      <c r="A154" s="49"/>
      <c r="B154" s="45"/>
      <c r="C154" s="49" t="s">
        <v>56</v>
      </c>
      <c r="D154" s="44" t="s">
        <v>31</v>
      </c>
      <c r="E154" s="50"/>
      <c r="F154" s="45"/>
      <c r="G154" s="45">
        <f>Source!V37</f>
        <v>2.7950000000000002E-4</v>
      </c>
      <c r="H154" s="45"/>
      <c r="I154" s="45"/>
      <c r="J154" s="45"/>
      <c r="K154" s="45"/>
      <c r="L154" s="51">
        <f>SUMIF(CE155:CE158,1,L155:L158)</f>
        <v>0.19</v>
      </c>
      <c r="CE154">
        <v>1</v>
      </c>
    </row>
    <row r="155" spans="1:101" ht="41.4" x14ac:dyDescent="0.25">
      <c r="A155" s="43"/>
      <c r="B155" s="43" t="s">
        <v>57</v>
      </c>
      <c r="C155" s="43" t="s">
        <v>58</v>
      </c>
      <c r="D155" s="44" t="s">
        <v>59</v>
      </c>
      <c r="E155" s="45">
        <v>0.01</v>
      </c>
      <c r="F155" s="45">
        <f>ROUND(1.25,7)</f>
        <v>1.25</v>
      </c>
      <c r="G155" s="45">
        <f>SmtRes!CX35</f>
        <v>6.9900000000000005E-5</v>
      </c>
      <c r="H155" s="46">
        <f>SmtRes!CZ35</f>
        <v>37.32</v>
      </c>
      <c r="I155" s="47">
        <f>SmtRes!AJ35</f>
        <v>1.54</v>
      </c>
      <c r="J155" s="46">
        <f>ROUND(H155*I155,2)</f>
        <v>57.47</v>
      </c>
      <c r="K155" s="47"/>
      <c r="L155" s="46">
        <f>SmtRes!DG35</f>
        <v>0</v>
      </c>
    </row>
    <row r="156" spans="1:101" ht="14.4" x14ac:dyDescent="0.25">
      <c r="A156" s="43"/>
      <c r="B156" s="43" t="s">
        <v>60</v>
      </c>
      <c r="C156" s="43" t="s">
        <v>61</v>
      </c>
      <c r="D156" s="44" t="s">
        <v>31</v>
      </c>
      <c r="E156" s="45">
        <f>SmtRes!DO35*SmtRes!AT35</f>
        <v>0.01</v>
      </c>
      <c r="F156" s="45">
        <f>ROUND(1.25,7)</f>
        <v>1.25</v>
      </c>
      <c r="G156" s="45">
        <f>ROUND(E156*F156*G148,7)</f>
        <v>6.9900000000000005E-5</v>
      </c>
      <c r="H156" s="46"/>
      <c r="I156" s="47"/>
      <c r="J156" s="46">
        <f>ROUND(SmtRes!AG35/SmtRes!DO35,2)</f>
        <v>641.22</v>
      </c>
      <c r="K156" s="47"/>
      <c r="L156" s="46">
        <f>SmtRes!DH35</f>
        <v>0.04</v>
      </c>
      <c r="CE156">
        <v>1</v>
      </c>
    </row>
    <row r="157" spans="1:101" ht="27.6" x14ac:dyDescent="0.25">
      <c r="A157" s="43"/>
      <c r="B157" s="43" t="s">
        <v>62</v>
      </c>
      <c r="C157" s="43" t="s">
        <v>63</v>
      </c>
      <c r="D157" s="44" t="s">
        <v>59</v>
      </c>
      <c r="E157" s="45">
        <v>0.03</v>
      </c>
      <c r="F157" s="45">
        <f>ROUND(1.25,7)</f>
        <v>1.25</v>
      </c>
      <c r="G157" s="45">
        <f>SmtRes!CX36</f>
        <v>2.096E-4</v>
      </c>
      <c r="H157" s="46"/>
      <c r="I157" s="47"/>
      <c r="J157" s="46">
        <f>SmtRes!CZ36</f>
        <v>643.29</v>
      </c>
      <c r="K157" s="47"/>
      <c r="L157" s="46">
        <f>SmtRes!DG36</f>
        <v>0.13</v>
      </c>
    </row>
    <row r="158" spans="1:101" ht="14.4" x14ac:dyDescent="0.25">
      <c r="A158" s="43"/>
      <c r="B158" s="43" t="s">
        <v>64</v>
      </c>
      <c r="C158" s="43" t="s">
        <v>65</v>
      </c>
      <c r="D158" s="44" t="s">
        <v>31</v>
      </c>
      <c r="E158" s="45">
        <f>SmtRes!DO36*SmtRes!AT36</f>
        <v>0.03</v>
      </c>
      <c r="F158" s="45">
        <f>ROUND(1.25,7)</f>
        <v>1.25</v>
      </c>
      <c r="G158" s="45">
        <f>ROUND(E158*F158*G148,7)</f>
        <v>2.096E-4</v>
      </c>
      <c r="H158" s="46"/>
      <c r="I158" s="47"/>
      <c r="J158" s="46">
        <f>ROUND(SmtRes!AG36/SmtRes!DO36,2)</f>
        <v>722.05</v>
      </c>
      <c r="K158" s="47"/>
      <c r="L158" s="46">
        <f>SmtRes!DH36</f>
        <v>0.15</v>
      </c>
      <c r="CE158">
        <v>1</v>
      </c>
    </row>
    <row r="159" spans="1:101" ht="14.4" x14ac:dyDescent="0.25">
      <c r="A159" s="49"/>
      <c r="B159" s="45">
        <v>4</v>
      </c>
      <c r="C159" s="49" t="s">
        <v>66</v>
      </c>
      <c r="D159" s="44"/>
      <c r="E159" s="50"/>
      <c r="F159" s="45"/>
      <c r="G159" s="45"/>
      <c r="H159" s="45"/>
      <c r="I159" s="45"/>
      <c r="J159" s="45"/>
      <c r="K159" s="45"/>
      <c r="L159" s="51">
        <f>SUM(L160:L161)-SUMIF(CE160:CE161,1,L160:L161)</f>
        <v>2.5500000000000003</v>
      </c>
    </row>
    <row r="160" spans="1:101" ht="14.4" x14ac:dyDescent="0.25">
      <c r="A160" s="43"/>
      <c r="B160" s="43" t="s">
        <v>141</v>
      </c>
      <c r="C160" s="43" t="s">
        <v>142</v>
      </c>
      <c r="D160" s="44" t="s">
        <v>111</v>
      </c>
      <c r="E160" s="45">
        <v>0.3</v>
      </c>
      <c r="F160" s="45"/>
      <c r="G160" s="45">
        <f>SmtRes!CX37</f>
        <v>1.6770000000000001E-3</v>
      </c>
      <c r="H160" s="46">
        <f>SmtRes!CZ37</f>
        <v>56.11</v>
      </c>
      <c r="I160" s="47">
        <f>SmtRes!AI37</f>
        <v>1.54</v>
      </c>
      <c r="J160" s="46">
        <f>ROUND(H160*I160,2)</f>
        <v>86.41</v>
      </c>
      <c r="K160" s="47"/>
      <c r="L160" s="46">
        <f>SmtRes!DF37</f>
        <v>0.14000000000000001</v>
      </c>
    </row>
    <row r="161" spans="1:101" ht="14.4" x14ac:dyDescent="0.25">
      <c r="A161" s="43"/>
      <c r="B161" s="43" t="s">
        <v>143</v>
      </c>
      <c r="C161" s="43" t="s">
        <v>144</v>
      </c>
      <c r="D161" s="44" t="s">
        <v>111</v>
      </c>
      <c r="E161" s="45">
        <v>2.7</v>
      </c>
      <c r="F161" s="45"/>
      <c r="G161" s="45">
        <f>SmtRes!CX39</f>
        <v>1.5093000000000001E-2</v>
      </c>
      <c r="H161" s="46">
        <f>SmtRes!CZ39</f>
        <v>133.31</v>
      </c>
      <c r="I161" s="47">
        <f>SmtRes!AI39</f>
        <v>1.2</v>
      </c>
      <c r="J161" s="46">
        <f>ROUND(H161*I161,2)</f>
        <v>159.97</v>
      </c>
      <c r="K161" s="47"/>
      <c r="L161" s="46">
        <f>SmtRes!DF39</f>
        <v>2.41</v>
      </c>
    </row>
    <row r="162" spans="1:101" ht="27.6" x14ac:dyDescent="0.25">
      <c r="A162" s="43"/>
      <c r="B162" s="43" t="str">
        <f>EtalonRes!I39</f>
        <v>14.4.02.04</v>
      </c>
      <c r="C162" s="52" t="str">
        <f>EtalonRes!K39</f>
        <v>Краски для внутренних работ масляные готовые к применению</v>
      </c>
      <c r="D162" s="53" t="str">
        <f>EtalonRes!O39</f>
        <v>кг</v>
      </c>
      <c r="E162" s="54">
        <f>EtalonRes!X39</f>
        <v>24.6</v>
      </c>
      <c r="F162" s="54"/>
      <c r="G162" s="54">
        <f>ROUND(EtalonRes!AG39*Source!I37,7)</f>
        <v>0.137514</v>
      </c>
      <c r="H162" s="55"/>
      <c r="I162" s="56"/>
      <c r="J162" s="55"/>
      <c r="K162" s="56"/>
      <c r="L162" s="55"/>
    </row>
    <row r="163" spans="1:101" ht="14.4" x14ac:dyDescent="0.25">
      <c r="A163" s="43"/>
      <c r="B163" s="43"/>
      <c r="C163" s="57" t="s">
        <v>70</v>
      </c>
      <c r="D163" s="44"/>
      <c r="E163" s="45"/>
      <c r="F163" s="45"/>
      <c r="G163" s="45"/>
      <c r="H163" s="46"/>
      <c r="I163" s="47"/>
      <c r="J163" s="46"/>
      <c r="K163" s="47"/>
      <c r="L163" s="46">
        <f>L151+L153+L154+L159</f>
        <v>279.23</v>
      </c>
    </row>
    <row r="164" spans="1:101" ht="14.4" x14ac:dyDescent="0.25">
      <c r="A164" s="75" t="s">
        <v>145</v>
      </c>
      <c r="B164" s="43" t="str">
        <f>Source!F38</f>
        <v>14.4.02.04-0252</v>
      </c>
      <c r="C164" s="43" t="str">
        <f>Source!G38</f>
        <v>Краска масляная МА-25, цветная</v>
      </c>
      <c r="D164" s="44" t="str">
        <f>Source!H38</f>
        <v>т</v>
      </c>
      <c r="E164" s="45">
        <f>SmtRes!AT38</f>
        <v>2.46E-2</v>
      </c>
      <c r="F164" s="45"/>
      <c r="G164" s="45">
        <f>Source!I38</f>
        <v>1.3750000000000009E-4</v>
      </c>
      <c r="H164" s="46">
        <f>Source!AL38+Source!AO38+Source!AM38+Source!AN38</f>
        <v>61813.88</v>
      </c>
      <c r="I164" s="47">
        <f>IF(Source!BC38&lt;&gt;0,Source!BC38,1)</f>
        <v>1.4</v>
      </c>
      <c r="J164" s="46">
        <f>ROUND(H164*I164,2)</f>
        <v>86539.43</v>
      </c>
      <c r="K164" s="47"/>
      <c r="L164" s="46">
        <f>Source!P38</f>
        <v>11.9</v>
      </c>
      <c r="AD164">
        <f>ROUND((Source!AT38/100)*((ROUND(ROUND(Source!AO38,2)*Source!I38,2)+ROUND(ROUND(Source!AN38,2)*Source!I38,2))),2)</f>
        <v>0</v>
      </c>
      <c r="AE164">
        <f>ROUND((Source!AU38/100)*((ROUND(ROUND(Source!AO38,2)*Source!I38,2)+ROUND(ROUND(Source!AN38,2)*Source!I38,2))),2)</f>
        <v>0</v>
      </c>
      <c r="AN164">
        <f>L164</f>
        <v>11.9</v>
      </c>
      <c r="AW164">
        <f>L164</f>
        <v>11.9</v>
      </c>
      <c r="AZ164">
        <f>Source!X38</f>
        <v>0</v>
      </c>
      <c r="BA164">
        <f>Source!Y38</f>
        <v>0</v>
      </c>
      <c r="CD164">
        <v>1</v>
      </c>
    </row>
    <row r="165" spans="1:101" ht="14.4" x14ac:dyDescent="0.25">
      <c r="A165" s="43"/>
      <c r="B165" s="43"/>
      <c r="C165" s="43" t="s">
        <v>71</v>
      </c>
      <c r="D165" s="44"/>
      <c r="E165" s="45"/>
      <c r="F165" s="45"/>
      <c r="G165" s="45"/>
      <c r="H165" s="46"/>
      <c r="I165" s="47"/>
      <c r="J165" s="46"/>
      <c r="K165" s="47"/>
      <c r="L165" s="46">
        <f>SUM(AR148:AR168)+SUM(AS148:AS168)+SUM(AT148:AT168)+SUM(AU148:AU168)+SUM(AV148:AV168)</f>
        <v>276.55</v>
      </c>
    </row>
    <row r="166" spans="1:101" ht="27.6" x14ac:dyDescent="0.25">
      <c r="A166" s="43"/>
      <c r="B166" s="43" t="s">
        <v>146</v>
      </c>
      <c r="C166" s="43" t="s">
        <v>147</v>
      </c>
      <c r="D166" s="44" t="s">
        <v>74</v>
      </c>
      <c r="E166" s="45">
        <f>Source!BZ37</f>
        <v>100</v>
      </c>
      <c r="F166" s="45">
        <f>ROUND(0.9,7)</f>
        <v>0.9</v>
      </c>
      <c r="G166" s="45">
        <f>Source!AT37</f>
        <v>90</v>
      </c>
      <c r="H166" s="46"/>
      <c r="I166" s="47"/>
      <c r="J166" s="46"/>
      <c r="K166" s="47"/>
      <c r="L166" s="46">
        <f>SUM(AZ148:AZ168)</f>
        <v>248.9</v>
      </c>
    </row>
    <row r="167" spans="1:101" ht="27.6" x14ac:dyDescent="0.25">
      <c r="A167" s="52"/>
      <c r="B167" s="52" t="s">
        <v>148</v>
      </c>
      <c r="C167" s="52" t="s">
        <v>149</v>
      </c>
      <c r="D167" s="53" t="s">
        <v>74</v>
      </c>
      <c r="E167" s="54">
        <f>Source!CA37</f>
        <v>49</v>
      </c>
      <c r="F167" s="54">
        <f>ROUND(0.85,7)</f>
        <v>0.85</v>
      </c>
      <c r="G167" s="54">
        <f>Source!AU37</f>
        <v>41.65</v>
      </c>
      <c r="H167" s="55"/>
      <c r="I167" s="56"/>
      <c r="J167" s="55"/>
      <c r="K167" s="56"/>
      <c r="L167" s="55">
        <f>SUM(BA148:BA168)</f>
        <v>115.18</v>
      </c>
    </row>
    <row r="168" spans="1:101" ht="13.8" x14ac:dyDescent="0.25">
      <c r="C168" s="103" t="s">
        <v>77</v>
      </c>
      <c r="D168" s="103"/>
      <c r="E168" s="103"/>
      <c r="F168" s="103"/>
      <c r="G168" s="103"/>
      <c r="H168" s="103"/>
      <c r="I168" s="104">
        <f>IF(E148&lt;&gt;0,K168/E148,0)</f>
        <v>117211.09123434707</v>
      </c>
      <c r="J168" s="104"/>
      <c r="K168" s="104">
        <f>L151+L153+L159+L166+L167+L154+SUM(L164:L164)</f>
        <v>655.21000000000015</v>
      </c>
      <c r="L168" s="104"/>
      <c r="AD168">
        <f>ROUND((Source!AT37/100)*((ROUND(SUMIF(SmtRes!AQ33:'SmtRes'!AQ39,"=1",SmtRes!AD33:'SmtRes'!AD39)*Source!I37,2)+ROUND(SUMIF(SmtRes!AQ33:'SmtRes'!AQ39,"=1",SmtRes!AC33:'SmtRes'!AC39)*Source!I37,2))),2)</f>
        <v>10.210000000000001</v>
      </c>
      <c r="AE168">
        <f>ROUND((Source!AU37/100)*((ROUND(SUMIF(SmtRes!AQ33:'SmtRes'!AQ39,"=1",SmtRes!AD33:'SmtRes'!AD39)*Source!I37,2)+ROUND(SUMIF(SmtRes!AQ33:'SmtRes'!AQ39,"=1",SmtRes!AC33:'SmtRes'!AC39)*Source!I37,2))),2)</f>
        <v>4.72</v>
      </c>
      <c r="AN168" s="59">
        <f>L151+L153+L159+L166+L167+L154</f>
        <v>643.31000000000017</v>
      </c>
      <c r="AO168" s="59">
        <f>L153</f>
        <v>0.13</v>
      </c>
      <c r="AQ168" t="s">
        <v>78</v>
      </c>
      <c r="AR168" s="59">
        <f>L151</f>
        <v>276.36</v>
      </c>
      <c r="AT168" s="59">
        <f>L154</f>
        <v>0.19</v>
      </c>
      <c r="AV168" t="s">
        <v>78</v>
      </c>
      <c r="AW168" s="59">
        <f>L159</f>
        <v>2.5500000000000003</v>
      </c>
      <c r="AZ168">
        <f>Source!X37</f>
        <v>248.9</v>
      </c>
      <c r="BA168">
        <f>Source!Y37</f>
        <v>115.18</v>
      </c>
      <c r="CD168">
        <v>1</v>
      </c>
    </row>
    <row r="169" spans="1:101" ht="41.4" x14ac:dyDescent="0.25">
      <c r="A169" s="75" t="s">
        <v>150</v>
      </c>
      <c r="B169" s="43" t="s">
        <v>151</v>
      </c>
      <c r="C169" s="43" t="str">
        <f>Source!G39</f>
        <v>Изоляция трубопроводов цилиндрами и полуцилиндрами из минеральной ваты на синтетическом связующем</v>
      </c>
      <c r="D169" s="44" t="str">
        <f>Source!H39</f>
        <v>м3</v>
      </c>
      <c r="E169" s="45">
        <f>Source!K39</f>
        <v>0.02</v>
      </c>
      <c r="F169" s="45"/>
      <c r="G169" s="45">
        <f>Source!I39</f>
        <v>0.02</v>
      </c>
      <c r="H169" s="46"/>
      <c r="I169" s="47"/>
      <c r="J169" s="46"/>
      <c r="K169" s="47"/>
      <c r="L169" s="46"/>
    </row>
    <row r="170" spans="1:101" ht="52.8" x14ac:dyDescent="0.25">
      <c r="B170" s="60" t="s">
        <v>137</v>
      </c>
      <c r="C170" s="106" t="s">
        <v>138</v>
      </c>
      <c r="D170" s="106"/>
      <c r="E170" s="106"/>
      <c r="F170" s="106"/>
      <c r="G170" s="106"/>
      <c r="H170" s="106"/>
      <c r="I170" s="106"/>
      <c r="J170" s="106"/>
      <c r="K170" s="106"/>
      <c r="L170" s="106"/>
      <c r="CW170" s="77" t="s">
        <v>138</v>
      </c>
    </row>
    <row r="171" spans="1:101" ht="14.4" x14ac:dyDescent="0.25">
      <c r="A171" s="49"/>
      <c r="B171" s="45">
        <v>1</v>
      </c>
      <c r="C171" s="49" t="s">
        <v>52</v>
      </c>
      <c r="D171" s="44" t="s">
        <v>31</v>
      </c>
      <c r="E171" s="50"/>
      <c r="F171" s="45"/>
      <c r="G171" s="45">
        <f>Source!U39</f>
        <v>0.42435</v>
      </c>
      <c r="H171" s="45"/>
      <c r="I171" s="45"/>
      <c r="J171" s="45"/>
      <c r="K171" s="45"/>
      <c r="L171" s="51">
        <f>SUM(L172:L172)-SUMIF(CE172:CE172,1,L172:L172)</f>
        <v>292.68</v>
      </c>
    </row>
    <row r="172" spans="1:101" ht="14.4" x14ac:dyDescent="0.25">
      <c r="A172" s="43"/>
      <c r="B172" s="43" t="s">
        <v>152</v>
      </c>
      <c r="C172" s="43" t="s">
        <v>153</v>
      </c>
      <c r="D172" s="44" t="s">
        <v>31</v>
      </c>
      <c r="E172" s="45">
        <v>18.45</v>
      </c>
      <c r="F172" s="45">
        <f>ROUND(1.15,7)</f>
        <v>1.1499999999999999</v>
      </c>
      <c r="G172" s="45">
        <f>SmtRes!CX40</f>
        <v>0.42435</v>
      </c>
      <c r="H172" s="46"/>
      <c r="I172" s="47"/>
      <c r="J172" s="46">
        <f>SmtRes!CZ40</f>
        <v>689.72</v>
      </c>
      <c r="K172" s="47"/>
      <c r="L172" s="46">
        <f>SmtRes!DI40</f>
        <v>292.68</v>
      </c>
    </row>
    <row r="173" spans="1:101" ht="14.4" x14ac:dyDescent="0.25">
      <c r="A173" s="49"/>
      <c r="B173" s="45">
        <v>2</v>
      </c>
      <c r="C173" s="49" t="s">
        <v>55</v>
      </c>
      <c r="D173" s="44"/>
      <c r="E173" s="50"/>
      <c r="F173" s="45"/>
      <c r="G173" s="45"/>
      <c r="H173" s="45"/>
      <c r="I173" s="45"/>
      <c r="J173" s="45"/>
      <c r="K173" s="45"/>
      <c r="L173" s="51">
        <f>SUM(L174:L177)-SUMIF(CE174:CE177,1,L174:L177)</f>
        <v>6.870000000000001</v>
      </c>
    </row>
    <row r="174" spans="1:101" ht="14.4" x14ac:dyDescent="0.25">
      <c r="A174" s="49"/>
      <c r="B174" s="45"/>
      <c r="C174" s="49" t="s">
        <v>56</v>
      </c>
      <c r="D174" s="44" t="s">
        <v>31</v>
      </c>
      <c r="E174" s="50"/>
      <c r="F174" s="45"/>
      <c r="G174" s="45">
        <f>Source!V39</f>
        <v>9.2499999999999995E-3</v>
      </c>
      <c r="H174" s="45"/>
      <c r="I174" s="45"/>
      <c r="J174" s="45"/>
      <c r="K174" s="45"/>
      <c r="L174" s="51">
        <f>SUMIF(CE175:CE177,1,L175:L177)</f>
        <v>6.68</v>
      </c>
      <c r="CE174">
        <v>1</v>
      </c>
    </row>
    <row r="175" spans="1:101" ht="27.6" x14ac:dyDescent="0.25">
      <c r="A175" s="43"/>
      <c r="B175" s="43" t="s">
        <v>62</v>
      </c>
      <c r="C175" s="43" t="s">
        <v>63</v>
      </c>
      <c r="D175" s="44" t="s">
        <v>59</v>
      </c>
      <c r="E175" s="45">
        <v>0.37</v>
      </c>
      <c r="F175" s="45">
        <f>ROUND(1.25,7)</f>
        <v>1.25</v>
      </c>
      <c r="G175" s="45">
        <f>SmtRes!CX42</f>
        <v>9.2499999999999995E-3</v>
      </c>
      <c r="H175" s="46"/>
      <c r="I175" s="47"/>
      <c r="J175" s="46">
        <f>SmtRes!CZ42</f>
        <v>643.29</v>
      </c>
      <c r="K175" s="47"/>
      <c r="L175" s="46">
        <f>SmtRes!DG42</f>
        <v>5.95</v>
      </c>
    </row>
    <row r="176" spans="1:101" ht="14.4" x14ac:dyDescent="0.25">
      <c r="A176" s="43"/>
      <c r="B176" s="43" t="s">
        <v>64</v>
      </c>
      <c r="C176" s="43" t="s">
        <v>65</v>
      </c>
      <c r="D176" s="44" t="s">
        <v>31</v>
      </c>
      <c r="E176" s="45">
        <f>SmtRes!DO42*SmtRes!AT42</f>
        <v>0.37</v>
      </c>
      <c r="F176" s="45">
        <f>ROUND(1.25,7)</f>
        <v>1.25</v>
      </c>
      <c r="G176" s="45">
        <f>ROUND(E176*F176*G169,7)</f>
        <v>9.2499999999999995E-3</v>
      </c>
      <c r="H176" s="46"/>
      <c r="I176" s="47"/>
      <c r="J176" s="46">
        <f>ROUND(SmtRes!AG42/SmtRes!DO42,2)</f>
        <v>722.05</v>
      </c>
      <c r="K176" s="47"/>
      <c r="L176" s="46">
        <f>SmtRes!DH42</f>
        <v>6.68</v>
      </c>
      <c r="CE176">
        <v>1</v>
      </c>
    </row>
    <row r="177" spans="1:82" ht="55.2" x14ac:dyDescent="0.25">
      <c r="A177" s="43"/>
      <c r="B177" s="43" t="s">
        <v>154</v>
      </c>
      <c r="C177" s="43" t="s">
        <v>155</v>
      </c>
      <c r="D177" s="44" t="s">
        <v>59</v>
      </c>
      <c r="E177" s="45">
        <v>1.18</v>
      </c>
      <c r="F177" s="45">
        <f>ROUND(1.25,7)</f>
        <v>1.25</v>
      </c>
      <c r="G177" s="45">
        <f>SmtRes!CX43</f>
        <v>2.9499999999999998E-2</v>
      </c>
      <c r="H177" s="46">
        <f>SmtRes!CZ43</f>
        <v>21.39</v>
      </c>
      <c r="I177" s="47">
        <f>SmtRes!AJ43</f>
        <v>1.45</v>
      </c>
      <c r="J177" s="46">
        <f>ROUND(H177*I177,2)</f>
        <v>31.02</v>
      </c>
      <c r="K177" s="47"/>
      <c r="L177" s="46">
        <f>SmtRes!DG43</f>
        <v>0.92</v>
      </c>
    </row>
    <row r="178" spans="1:82" ht="14.4" x14ac:dyDescent="0.25">
      <c r="A178" s="49"/>
      <c r="B178" s="45">
        <v>4</v>
      </c>
      <c r="C178" s="49" t="s">
        <v>66</v>
      </c>
      <c r="D178" s="44"/>
      <c r="E178" s="50"/>
      <c r="F178" s="45"/>
      <c r="G178" s="45"/>
      <c r="H178" s="45"/>
      <c r="I178" s="45"/>
      <c r="J178" s="45"/>
      <c r="K178" s="45"/>
      <c r="L178" s="51">
        <f>SUM(L179:L183)-SUMIF(CE179:CE183,1,L179:L183)</f>
        <v>83.06</v>
      </c>
    </row>
    <row r="179" spans="1:82" ht="69" x14ac:dyDescent="0.25">
      <c r="A179" s="43"/>
      <c r="B179" s="43" t="s">
        <v>156</v>
      </c>
      <c r="C179" s="43" t="s">
        <v>157</v>
      </c>
      <c r="D179" s="44" t="s">
        <v>87</v>
      </c>
      <c r="E179" s="45">
        <v>4.0000000000000003E-5</v>
      </c>
      <c r="F179" s="45"/>
      <c r="G179" s="45">
        <f>SmtRes!CX44</f>
        <v>7.9999999999999996E-7</v>
      </c>
      <c r="H179" s="46">
        <f>SmtRes!CZ44</f>
        <v>263215.45</v>
      </c>
      <c r="I179" s="47">
        <f>SmtRes!AI44</f>
        <v>1.29</v>
      </c>
      <c r="J179" s="46">
        <f>ROUND(H179*I179,2)</f>
        <v>339547.93</v>
      </c>
      <c r="K179" s="47"/>
      <c r="L179" s="46">
        <f>SmtRes!DF44</f>
        <v>0.27</v>
      </c>
    </row>
    <row r="180" spans="1:82" ht="41.4" x14ac:dyDescent="0.25">
      <c r="A180" s="43"/>
      <c r="B180" s="43" t="s">
        <v>158</v>
      </c>
      <c r="C180" s="43" t="s">
        <v>159</v>
      </c>
      <c r="D180" s="44" t="s">
        <v>87</v>
      </c>
      <c r="E180" s="45">
        <v>1.09E-2</v>
      </c>
      <c r="F180" s="45"/>
      <c r="G180" s="45">
        <f>SmtRes!CX45</f>
        <v>2.1800000000000001E-4</v>
      </c>
      <c r="H180" s="46">
        <f>SmtRes!CZ45</f>
        <v>89073.2</v>
      </c>
      <c r="I180" s="47">
        <f>SmtRes!AI45</f>
        <v>0.75</v>
      </c>
      <c r="J180" s="46">
        <f>ROUND(H180*I180,2)</f>
        <v>66804.899999999994</v>
      </c>
      <c r="K180" s="47"/>
      <c r="L180" s="46">
        <f>SmtRes!DF45</f>
        <v>14.56</v>
      </c>
    </row>
    <row r="181" spans="1:82" ht="41.4" x14ac:dyDescent="0.25">
      <c r="A181" s="43"/>
      <c r="B181" s="43" t="s">
        <v>160</v>
      </c>
      <c r="C181" s="43" t="s">
        <v>161</v>
      </c>
      <c r="D181" s="44" t="s">
        <v>87</v>
      </c>
      <c r="E181" s="45">
        <v>1.1000000000000001E-3</v>
      </c>
      <c r="F181" s="45"/>
      <c r="G181" s="45">
        <f>SmtRes!CX46</f>
        <v>2.1999999999999999E-5</v>
      </c>
      <c r="H181" s="46">
        <f>SmtRes!CZ46</f>
        <v>129575.7</v>
      </c>
      <c r="I181" s="47">
        <f>SmtRes!AI46</f>
        <v>0.94</v>
      </c>
      <c r="J181" s="46">
        <f>ROUND(H181*I181,2)</f>
        <v>121801.16</v>
      </c>
      <c r="K181" s="47"/>
      <c r="L181" s="46">
        <f>SmtRes!DF46</f>
        <v>2.68</v>
      </c>
    </row>
    <row r="182" spans="1:82" ht="41.4" x14ac:dyDescent="0.25">
      <c r="A182" s="43"/>
      <c r="B182" s="43" t="s">
        <v>162</v>
      </c>
      <c r="C182" s="43" t="s">
        <v>163</v>
      </c>
      <c r="D182" s="44" t="s">
        <v>87</v>
      </c>
      <c r="E182" s="45">
        <v>4.0000000000000001E-3</v>
      </c>
      <c r="F182" s="45"/>
      <c r="G182" s="45">
        <f>SmtRes!CX47</f>
        <v>8.0000000000000007E-5</v>
      </c>
      <c r="H182" s="46">
        <f>SmtRes!CZ47</f>
        <v>87245.7</v>
      </c>
      <c r="I182" s="47">
        <f>SmtRes!AI47</f>
        <v>0.94</v>
      </c>
      <c r="J182" s="46">
        <f>ROUND(H182*I182,2)</f>
        <v>82010.960000000006</v>
      </c>
      <c r="K182" s="47"/>
      <c r="L182" s="46">
        <f>SmtRes!DF47</f>
        <v>6.56</v>
      </c>
    </row>
    <row r="183" spans="1:82" ht="27.6" x14ac:dyDescent="0.25">
      <c r="A183" s="43"/>
      <c r="B183" s="43" t="s">
        <v>164</v>
      </c>
      <c r="C183" s="43" t="s">
        <v>165</v>
      </c>
      <c r="D183" s="44" t="s">
        <v>87</v>
      </c>
      <c r="E183" s="45">
        <v>3.9E-2</v>
      </c>
      <c r="F183" s="45"/>
      <c r="G183" s="45">
        <f>SmtRes!CX48</f>
        <v>7.7999999999999999E-4</v>
      </c>
      <c r="H183" s="46"/>
      <c r="I183" s="47"/>
      <c r="J183" s="46">
        <f>SmtRes!CZ48</f>
        <v>75628.100000000006</v>
      </c>
      <c r="K183" s="47"/>
      <c r="L183" s="46">
        <f>SmtRes!DF48</f>
        <v>58.99</v>
      </c>
    </row>
    <row r="184" spans="1:82" ht="41.4" x14ac:dyDescent="0.25">
      <c r="A184" s="43"/>
      <c r="B184" s="43" t="str">
        <f>EtalonRes!I50</f>
        <v>12.2.08.03</v>
      </c>
      <c r="C184" s="52" t="str">
        <f>EtalonRes!K50</f>
        <v>Цилиндры и полуцилиндры теплоизоляционные из минваты на синтетическом связующем</v>
      </c>
      <c r="D184" s="53" t="str">
        <f>EtalonRes!O50</f>
        <v>м3</v>
      </c>
      <c r="E184" s="54">
        <f>EtalonRes!X50</f>
        <v>1.032</v>
      </c>
      <c r="F184" s="54"/>
      <c r="G184" s="54">
        <f>ROUND(EtalonRes!AG50*Source!I39,7)</f>
        <v>2.0639999999999999E-2</v>
      </c>
      <c r="H184" s="55"/>
      <c r="I184" s="56"/>
      <c r="J184" s="55"/>
      <c r="K184" s="56"/>
      <c r="L184" s="55"/>
    </row>
    <row r="185" spans="1:82" ht="14.4" x14ac:dyDescent="0.25">
      <c r="A185" s="43"/>
      <c r="B185" s="43"/>
      <c r="C185" s="57" t="s">
        <v>70</v>
      </c>
      <c r="D185" s="44"/>
      <c r="E185" s="45"/>
      <c r="F185" s="45"/>
      <c r="G185" s="45"/>
      <c r="H185" s="46"/>
      <c r="I185" s="47"/>
      <c r="J185" s="46"/>
      <c r="K185" s="47"/>
      <c r="L185" s="46">
        <f>L171+L173+L174+L178</f>
        <v>389.29</v>
      </c>
    </row>
    <row r="186" spans="1:82" ht="138" x14ac:dyDescent="0.25">
      <c r="A186" s="75" t="s">
        <v>166</v>
      </c>
      <c r="B186" s="43" t="str">
        <f>Source!F40</f>
        <v>12.2.08.01-0038</v>
      </c>
      <c r="C186" s="43" t="str">
        <f>Source!G40</f>
        <v>Цилиндры теплоизоляционные из минеральной ваты на основе базальтовых пород, кашированные армированной алюминиевой фольгой, группа горючести Г1, плотность до 100 кг/м3, теплопроводность при +10/+25 °C не более 0,036/0,039 Вт/(м*К), максимальная температура применения +250 °C, толщина стенки 30 мм, внутренний диаметр 89 мм</v>
      </c>
      <c r="D186" s="44" t="str">
        <f>Source!H40</f>
        <v>м</v>
      </c>
      <c r="E186" s="45">
        <f>SmtRes!AT49</f>
        <v>103</v>
      </c>
      <c r="F186" s="45"/>
      <c r="G186" s="45">
        <f>Source!I40</f>
        <v>2.06</v>
      </c>
      <c r="H186" s="46">
        <f>Source!AL40+Source!AO40+Source!AM40+Source!AN40</f>
        <v>368.56</v>
      </c>
      <c r="I186" s="47">
        <f>IF(Source!BC40&lt;&gt;0,Source!BC40,1)</f>
        <v>1.38</v>
      </c>
      <c r="J186" s="46">
        <f>ROUND(H186*I186,2)</f>
        <v>508.61</v>
      </c>
      <c r="K186" s="47"/>
      <c r="L186" s="46">
        <f>Source!P40</f>
        <v>1047.74</v>
      </c>
      <c r="AD186">
        <f>ROUND((Source!AT40/100)*((ROUND(ROUND(Source!AO40,2)*Source!I40,2)+ROUND(ROUND(Source!AN40,2)*Source!I40,2))),2)</f>
        <v>0</v>
      </c>
      <c r="AE186">
        <f>ROUND((Source!AU40/100)*((ROUND(ROUND(Source!AO40,2)*Source!I40,2)+ROUND(ROUND(Source!AN40,2)*Source!I40,2))),2)</f>
        <v>0</v>
      </c>
      <c r="AN186">
        <f>L186</f>
        <v>1047.74</v>
      </c>
      <c r="AW186">
        <f>L186</f>
        <v>1047.74</v>
      </c>
      <c r="AZ186">
        <f>Source!X40</f>
        <v>0</v>
      </c>
      <c r="BA186">
        <f>Source!Y40</f>
        <v>0</v>
      </c>
      <c r="CD186">
        <v>1</v>
      </c>
    </row>
    <row r="187" spans="1:82" ht="14.4" x14ac:dyDescent="0.25">
      <c r="A187" s="43"/>
      <c r="B187" s="43"/>
      <c r="C187" s="43" t="s">
        <v>71</v>
      </c>
      <c r="D187" s="44"/>
      <c r="E187" s="45"/>
      <c r="F187" s="45"/>
      <c r="G187" s="45"/>
      <c r="H187" s="46"/>
      <c r="I187" s="47"/>
      <c r="J187" s="46"/>
      <c r="K187" s="47"/>
      <c r="L187" s="46">
        <f>SUM(AR169:AR190)+SUM(AS169:AS190)+SUM(AT169:AT190)+SUM(AU169:AU190)+SUM(AV169:AV190)</f>
        <v>299.36</v>
      </c>
    </row>
    <row r="188" spans="1:82" ht="27.6" x14ac:dyDescent="0.25">
      <c r="A188" s="43"/>
      <c r="B188" s="43" t="s">
        <v>167</v>
      </c>
      <c r="C188" s="43" t="s">
        <v>168</v>
      </c>
      <c r="D188" s="44" t="s">
        <v>74</v>
      </c>
      <c r="E188" s="45">
        <f>Source!BZ39</f>
        <v>97</v>
      </c>
      <c r="F188" s="45">
        <f>ROUND(0.9,7)</f>
        <v>0.9</v>
      </c>
      <c r="G188" s="45">
        <f>Source!AT39</f>
        <v>87.3</v>
      </c>
      <c r="H188" s="46"/>
      <c r="I188" s="47"/>
      <c r="J188" s="46"/>
      <c r="K188" s="47"/>
      <c r="L188" s="46">
        <f>SUM(AZ169:AZ190)</f>
        <v>261.33999999999997</v>
      </c>
    </row>
    <row r="189" spans="1:82" ht="27.6" x14ac:dyDescent="0.25">
      <c r="A189" s="52"/>
      <c r="B189" s="52" t="s">
        <v>169</v>
      </c>
      <c r="C189" s="52" t="s">
        <v>170</v>
      </c>
      <c r="D189" s="53" t="s">
        <v>74</v>
      </c>
      <c r="E189" s="54">
        <f>Source!CA39</f>
        <v>55</v>
      </c>
      <c r="F189" s="54">
        <f>ROUND(0.85,7)</f>
        <v>0.85</v>
      </c>
      <c r="G189" s="54">
        <f>Source!AU39</f>
        <v>46.75</v>
      </c>
      <c r="H189" s="55"/>
      <c r="I189" s="56"/>
      <c r="J189" s="55"/>
      <c r="K189" s="56"/>
      <c r="L189" s="55">
        <f>SUM(BA169:BA190)</f>
        <v>139.94999999999999</v>
      </c>
    </row>
    <row r="190" spans="1:82" ht="13.8" x14ac:dyDescent="0.25">
      <c r="C190" s="103" t="s">
        <v>77</v>
      </c>
      <c r="D190" s="103"/>
      <c r="E190" s="103"/>
      <c r="F190" s="103"/>
      <c r="G190" s="103"/>
      <c r="H190" s="103"/>
      <c r="I190" s="104">
        <f>IF(E169&lt;&gt;0,K190/E169,0)</f>
        <v>91916</v>
      </c>
      <c r="J190" s="104"/>
      <c r="K190" s="104">
        <f>L171+L173+L178+L188+L189+L174+SUM(L186:L186)</f>
        <v>1838.3200000000002</v>
      </c>
      <c r="L190" s="104"/>
      <c r="AD190">
        <f>ROUND((Source!AT39/100)*((ROUND(SUMIF(SmtRes!AQ40:'SmtRes'!AQ49,"=1",SmtRes!AD40:'SmtRes'!AD49)*Source!I39,2)+ROUND(SUMIF(SmtRes!AQ40:'SmtRes'!AQ49,"=1",SmtRes!AC40:'SmtRes'!AC49)*Source!I39,2))),2)</f>
        <v>24.64</v>
      </c>
      <c r="AE190">
        <f>ROUND((Source!AU39/100)*((ROUND(SUMIF(SmtRes!AQ40:'SmtRes'!AQ49,"=1",SmtRes!AD40:'SmtRes'!AD49)*Source!I39,2)+ROUND(SUMIF(SmtRes!AQ40:'SmtRes'!AQ49,"=1",SmtRes!AC40:'SmtRes'!AC49)*Source!I39,2))),2)</f>
        <v>13.2</v>
      </c>
      <c r="AN190" s="59">
        <f>L171+L173+L178+L188+L189+L174</f>
        <v>790.58</v>
      </c>
      <c r="AO190" s="59">
        <f>L173</f>
        <v>6.870000000000001</v>
      </c>
      <c r="AQ190" t="s">
        <v>78</v>
      </c>
      <c r="AR190" s="59">
        <f>L171</f>
        <v>292.68</v>
      </c>
      <c r="AT190" s="59">
        <f>L174</f>
        <v>6.68</v>
      </c>
      <c r="AV190" t="s">
        <v>78</v>
      </c>
      <c r="AW190" s="59">
        <f>L178</f>
        <v>83.06</v>
      </c>
      <c r="AZ190">
        <f>Source!X39</f>
        <v>261.33999999999997</v>
      </c>
      <c r="BA190">
        <f>Source!Y39</f>
        <v>139.94999999999999</v>
      </c>
      <c r="CD190">
        <v>1</v>
      </c>
    </row>
    <row r="192" spans="1:82" ht="13.8" x14ac:dyDescent="0.25">
      <c r="A192" s="61"/>
      <c r="B192" s="62"/>
      <c r="C192" s="98" t="s">
        <v>171</v>
      </c>
      <c r="D192" s="98"/>
      <c r="E192" s="98"/>
      <c r="F192" s="98"/>
      <c r="G192" s="98"/>
      <c r="H192" s="98"/>
      <c r="I192" s="51"/>
      <c r="J192" s="61"/>
      <c r="K192" s="63"/>
      <c r="L192" s="51">
        <f>L194+L195+L201+L205</f>
        <v>22169.579999999998</v>
      </c>
    </row>
    <row r="193" spans="1:12" ht="13.8" x14ac:dyDescent="0.25">
      <c r="A193" s="64"/>
      <c r="B193" s="65"/>
      <c r="C193" s="101" t="s">
        <v>172</v>
      </c>
      <c r="D193" s="97"/>
      <c r="E193" s="97"/>
      <c r="F193" s="97"/>
      <c r="G193" s="97"/>
      <c r="H193" s="97"/>
      <c r="I193" s="46"/>
      <c r="J193" s="64"/>
      <c r="K193" s="45"/>
      <c r="L193" s="46"/>
    </row>
    <row r="194" spans="1:12" ht="13.8" x14ac:dyDescent="0.25">
      <c r="A194" s="64"/>
      <c r="B194" s="65"/>
      <c r="C194" s="97" t="s">
        <v>173</v>
      </c>
      <c r="D194" s="97"/>
      <c r="E194" s="97"/>
      <c r="F194" s="97"/>
      <c r="G194" s="97"/>
      <c r="H194" s="97"/>
      <c r="I194" s="46"/>
      <c r="J194" s="64"/>
      <c r="K194" s="45"/>
      <c r="L194" s="46">
        <f>SUM(AR61:AR190)</f>
        <v>6191.66</v>
      </c>
    </row>
    <row r="195" spans="1:12" ht="13.8" hidden="1" x14ac:dyDescent="0.25">
      <c r="A195" s="64"/>
      <c r="B195" s="65"/>
      <c r="C195" s="97" t="s">
        <v>174</v>
      </c>
      <c r="D195" s="97"/>
      <c r="E195" s="97"/>
      <c r="F195" s="97"/>
      <c r="G195" s="97"/>
      <c r="H195" s="97"/>
      <c r="I195" s="46"/>
      <c r="J195" s="64"/>
      <c r="K195" s="45"/>
      <c r="L195" s="46">
        <f>L197+L200+L199</f>
        <v>104.69999999999999</v>
      </c>
    </row>
    <row r="196" spans="1:12" ht="13.8" hidden="1" x14ac:dyDescent="0.25">
      <c r="A196" s="64"/>
      <c r="B196" s="65"/>
      <c r="C196" s="101" t="s">
        <v>175</v>
      </c>
      <c r="D196" s="97"/>
      <c r="E196" s="97"/>
      <c r="F196" s="97"/>
      <c r="G196" s="97"/>
      <c r="H196" s="97"/>
      <c r="I196" s="46"/>
      <c r="J196" s="64"/>
      <c r="K196" s="45"/>
      <c r="L196" s="46"/>
    </row>
    <row r="197" spans="1:12" ht="13.8" x14ac:dyDescent="0.25">
      <c r="A197" s="64"/>
      <c r="B197" s="65"/>
      <c r="C197" s="97" t="s">
        <v>174</v>
      </c>
      <c r="D197" s="97"/>
      <c r="E197" s="97"/>
      <c r="F197" s="97"/>
      <c r="G197" s="97"/>
      <c r="H197" s="97"/>
      <c r="I197" s="46"/>
      <c r="J197" s="64"/>
      <c r="K197" s="45"/>
      <c r="L197" s="46">
        <f>SUM(AO61:AO190)</f>
        <v>57.17</v>
      </c>
    </row>
    <row r="198" spans="1:12" ht="13.8" hidden="1" x14ac:dyDescent="0.25">
      <c r="A198" s="64"/>
      <c r="B198" s="65"/>
      <c r="C198" s="101" t="s">
        <v>176</v>
      </c>
      <c r="D198" s="97"/>
      <c r="E198" s="97"/>
      <c r="F198" s="97"/>
      <c r="G198" s="97"/>
      <c r="H198" s="97"/>
      <c r="I198" s="46"/>
      <c r="J198" s="64"/>
      <c r="K198" s="45"/>
      <c r="L198" s="46"/>
    </row>
    <row r="199" spans="1:12" ht="13.8" x14ac:dyDescent="0.25">
      <c r="A199" s="64"/>
      <c r="B199" s="65"/>
      <c r="C199" s="97" t="s">
        <v>177</v>
      </c>
      <c r="D199" s="97"/>
      <c r="E199" s="97"/>
      <c r="F199" s="97"/>
      <c r="G199" s="97"/>
      <c r="H199" s="97"/>
      <c r="I199" s="46"/>
      <c r="J199" s="64"/>
      <c r="K199" s="45"/>
      <c r="L199" s="46">
        <f>SUM(AT61:AT190)</f>
        <v>47.529999999999994</v>
      </c>
    </row>
    <row r="200" spans="1:12" ht="13.8" hidden="1" x14ac:dyDescent="0.25">
      <c r="A200" s="64"/>
      <c r="B200" s="65"/>
      <c r="C200" s="97" t="s">
        <v>178</v>
      </c>
      <c r="D200" s="97"/>
      <c r="E200" s="97"/>
      <c r="F200" s="97"/>
      <c r="G200" s="97"/>
      <c r="H200" s="97"/>
      <c r="I200" s="46"/>
      <c r="J200" s="64"/>
      <c r="K200" s="45"/>
      <c r="L200" s="46">
        <f>SUM(AV61:AV190)</f>
        <v>0</v>
      </c>
    </row>
    <row r="201" spans="1:12" ht="13.8" x14ac:dyDescent="0.25">
      <c r="A201" s="64"/>
      <c r="B201" s="65"/>
      <c r="C201" s="97" t="s">
        <v>179</v>
      </c>
      <c r="D201" s="97"/>
      <c r="E201" s="97"/>
      <c r="F201" s="97"/>
      <c r="G201" s="97"/>
      <c r="H201" s="97"/>
      <c r="I201" s="46"/>
      <c r="J201" s="64"/>
      <c r="K201" s="45"/>
      <c r="L201" s="46">
        <f>L203+L204</f>
        <v>15873.22</v>
      </c>
    </row>
    <row r="202" spans="1:12" ht="13.8" x14ac:dyDescent="0.25">
      <c r="A202" s="64"/>
      <c r="B202" s="65"/>
      <c r="C202" s="101" t="s">
        <v>175</v>
      </c>
      <c r="D202" s="97"/>
      <c r="E202" s="97"/>
      <c r="F202" s="97"/>
      <c r="G202" s="97"/>
      <c r="H202" s="97"/>
      <c r="I202" s="46"/>
      <c r="J202" s="64"/>
      <c r="K202" s="45"/>
      <c r="L202" s="46"/>
    </row>
    <row r="203" spans="1:12" ht="13.8" x14ac:dyDescent="0.25">
      <c r="A203" s="64"/>
      <c r="B203" s="65"/>
      <c r="C203" s="97" t="s">
        <v>180</v>
      </c>
      <c r="D203" s="97"/>
      <c r="E203" s="97"/>
      <c r="F203" s="97"/>
      <c r="G203" s="97"/>
      <c r="H203" s="97"/>
      <c r="I203" s="46"/>
      <c r="J203" s="64"/>
      <c r="K203" s="45"/>
      <c r="L203" s="46">
        <f>SUM(AW61:AW190)-SUM(BK61:BK190)</f>
        <v>15873.22</v>
      </c>
    </row>
    <row r="204" spans="1:12" ht="13.8" hidden="1" x14ac:dyDescent="0.25">
      <c r="A204" s="64"/>
      <c r="B204" s="65"/>
      <c r="C204" s="97" t="s">
        <v>181</v>
      </c>
      <c r="D204" s="97"/>
      <c r="E204" s="97"/>
      <c r="F204" s="97"/>
      <c r="G204" s="97"/>
      <c r="H204" s="97"/>
      <c r="I204" s="46"/>
      <c r="J204" s="64"/>
      <c r="K204" s="45"/>
      <c r="L204" s="46">
        <f>SUM(BC61:BC190)</f>
        <v>0</v>
      </c>
    </row>
    <row r="205" spans="1:12" ht="13.8" hidden="1" x14ac:dyDescent="0.25">
      <c r="A205" s="64"/>
      <c r="B205" s="65"/>
      <c r="C205" s="97" t="s">
        <v>182</v>
      </c>
      <c r="D205" s="97"/>
      <c r="E205" s="97"/>
      <c r="F205" s="97"/>
      <c r="G205" s="97"/>
      <c r="H205" s="97"/>
      <c r="I205" s="46"/>
      <c r="J205" s="64"/>
      <c r="K205" s="45"/>
      <c r="L205" s="46">
        <f>SUM(BB61:BB190)</f>
        <v>0</v>
      </c>
    </row>
    <row r="206" spans="1:12" ht="13.8" x14ac:dyDescent="0.25">
      <c r="A206" s="64"/>
      <c r="B206" s="65"/>
      <c r="C206" s="97" t="s">
        <v>183</v>
      </c>
      <c r="D206" s="97"/>
      <c r="E206" s="97"/>
      <c r="F206" s="97"/>
      <c r="G206" s="97"/>
      <c r="H206" s="97"/>
      <c r="I206" s="46"/>
      <c r="J206" s="64"/>
      <c r="K206" s="45"/>
      <c r="L206" s="46">
        <f>SUM(AR61:AR190)+SUM(AT61:AT190)+SUM(AV61:AV190)</f>
        <v>6239.19</v>
      </c>
    </row>
    <row r="207" spans="1:12" ht="13.8" x14ac:dyDescent="0.25">
      <c r="A207" s="64"/>
      <c r="B207" s="65"/>
      <c r="C207" s="97" t="s">
        <v>184</v>
      </c>
      <c r="D207" s="97"/>
      <c r="E207" s="97"/>
      <c r="F207" s="97"/>
      <c r="G207" s="97"/>
      <c r="H207" s="97"/>
      <c r="I207" s="46"/>
      <c r="J207" s="64"/>
      <c r="K207" s="45"/>
      <c r="L207" s="46">
        <f>SUM(AZ61:AZ190)</f>
        <v>6210.53</v>
      </c>
    </row>
    <row r="208" spans="1:12" ht="13.8" x14ac:dyDescent="0.25">
      <c r="A208" s="64"/>
      <c r="B208" s="65"/>
      <c r="C208" s="97" t="s">
        <v>185</v>
      </c>
      <c r="D208" s="97"/>
      <c r="E208" s="97"/>
      <c r="F208" s="97"/>
      <c r="G208" s="97"/>
      <c r="H208" s="97"/>
      <c r="I208" s="46"/>
      <c r="J208" s="64"/>
      <c r="K208" s="45"/>
      <c r="L208" s="46">
        <f>SUM(BA61:BA190)</f>
        <v>3129.18</v>
      </c>
    </row>
    <row r="209" spans="1:12" ht="13.8" hidden="1" x14ac:dyDescent="0.25">
      <c r="A209" s="64"/>
      <c r="B209" s="65"/>
      <c r="C209" s="97" t="s">
        <v>186</v>
      </c>
      <c r="D209" s="97"/>
      <c r="E209" s="97"/>
      <c r="F209" s="97"/>
      <c r="G209" s="97"/>
      <c r="H209" s="97"/>
      <c r="I209" s="46"/>
      <c r="J209" s="64"/>
      <c r="K209" s="45"/>
      <c r="L209" s="46">
        <f>L211+L212</f>
        <v>0</v>
      </c>
    </row>
    <row r="210" spans="1:12" ht="13.8" hidden="1" x14ac:dyDescent="0.25">
      <c r="A210" s="64"/>
      <c r="B210" s="65"/>
      <c r="C210" s="101" t="s">
        <v>172</v>
      </c>
      <c r="D210" s="97"/>
      <c r="E210" s="97"/>
      <c r="F210" s="97"/>
      <c r="G210" s="97"/>
      <c r="H210" s="97"/>
      <c r="I210" s="46"/>
      <c r="J210" s="64"/>
      <c r="K210" s="45"/>
      <c r="L210" s="46"/>
    </row>
    <row r="211" spans="1:12" ht="13.8" hidden="1" x14ac:dyDescent="0.25">
      <c r="A211" s="64"/>
      <c r="B211" s="65"/>
      <c r="C211" s="97" t="s">
        <v>187</v>
      </c>
      <c r="D211" s="97"/>
      <c r="E211" s="97"/>
      <c r="F211" s="97"/>
      <c r="G211" s="97"/>
      <c r="H211" s="97"/>
      <c r="I211" s="46"/>
      <c r="J211" s="64"/>
      <c r="K211" s="45"/>
      <c r="L211" s="46">
        <f>SUM(BK61:BK190)</f>
        <v>0</v>
      </c>
    </row>
    <row r="212" spans="1:12" ht="13.8" hidden="1" x14ac:dyDescent="0.25">
      <c r="A212" s="64"/>
      <c r="B212" s="65"/>
      <c r="C212" s="97" t="s">
        <v>188</v>
      </c>
      <c r="D212" s="97"/>
      <c r="E212" s="97"/>
      <c r="F212" s="97"/>
      <c r="G212" s="97"/>
      <c r="H212" s="97"/>
      <c r="I212" s="46"/>
      <c r="J212" s="64"/>
      <c r="K212" s="45"/>
      <c r="L212" s="46">
        <f>SUM(BD61:BD190)</f>
        <v>0</v>
      </c>
    </row>
    <row r="213" spans="1:12" ht="13.8" hidden="1" x14ac:dyDescent="0.25">
      <c r="A213" s="64"/>
      <c r="B213" s="65"/>
      <c r="C213" s="97" t="s">
        <v>189</v>
      </c>
      <c r="D213" s="97"/>
      <c r="E213" s="97"/>
      <c r="F213" s="97"/>
      <c r="G213" s="97"/>
      <c r="H213" s="97"/>
      <c r="I213" s="46"/>
      <c r="J213" s="64"/>
      <c r="K213" s="45"/>
      <c r="L213" s="46"/>
    </row>
    <row r="214" spans="1:12" ht="13.8" hidden="1" x14ac:dyDescent="0.25">
      <c r="A214" s="64"/>
      <c r="B214" s="65"/>
      <c r="C214" s="97" t="s">
        <v>189</v>
      </c>
      <c r="D214" s="97"/>
      <c r="E214" s="97"/>
      <c r="F214" s="97"/>
      <c r="G214" s="97"/>
      <c r="H214" s="97"/>
      <c r="I214" s="46"/>
      <c r="J214" s="64"/>
      <c r="K214" s="45"/>
      <c r="L214" s="46">
        <f>SUM(BQ61:BQ190)</f>
        <v>0</v>
      </c>
    </row>
    <row r="215" spans="1:12" ht="13.8" hidden="1" x14ac:dyDescent="0.25">
      <c r="A215" s="64"/>
      <c r="B215" s="65"/>
      <c r="C215" s="97" t="s">
        <v>190</v>
      </c>
      <c r="D215" s="97"/>
      <c r="E215" s="97"/>
      <c r="F215" s="97"/>
      <c r="G215" s="97"/>
      <c r="H215" s="97"/>
      <c r="I215" s="46"/>
      <c r="J215" s="64"/>
      <c r="K215" s="45"/>
      <c r="L215" s="46">
        <f>SUM(BO61:BO190)</f>
        <v>0</v>
      </c>
    </row>
    <row r="216" spans="1:12" ht="13.8" x14ac:dyDescent="0.25">
      <c r="A216" s="61"/>
      <c r="B216" s="62"/>
      <c r="C216" s="98" t="s">
        <v>191</v>
      </c>
      <c r="D216" s="98"/>
      <c r="E216" s="98"/>
      <c r="F216" s="98"/>
      <c r="G216" s="98"/>
      <c r="H216" s="98"/>
      <c r="I216" s="51"/>
      <c r="J216" s="61"/>
      <c r="K216" s="63"/>
      <c r="L216" s="51">
        <f>L192+L207+L208+L209+L214+L215</f>
        <v>31509.289999999997</v>
      </c>
    </row>
    <row r="217" spans="1:12" ht="13.8" x14ac:dyDescent="0.25">
      <c r="A217" s="64"/>
      <c r="B217" s="65"/>
      <c r="C217" s="101" t="s">
        <v>192</v>
      </c>
      <c r="D217" s="97"/>
      <c r="E217" s="97"/>
      <c r="F217" s="97"/>
      <c r="G217" s="97"/>
      <c r="H217" s="97"/>
      <c r="I217" s="46"/>
      <c r="J217" s="64"/>
      <c r="K217" s="45"/>
      <c r="L217" s="46"/>
    </row>
    <row r="218" spans="1:12" ht="13.8" hidden="1" x14ac:dyDescent="0.25">
      <c r="A218" s="64"/>
      <c r="B218" s="65"/>
      <c r="C218" s="97" t="s">
        <v>193</v>
      </c>
      <c r="D218" s="97"/>
      <c r="E218" s="97"/>
      <c r="F218" s="97"/>
      <c r="G218" s="97"/>
      <c r="H218" s="97"/>
      <c r="I218" s="46"/>
      <c r="J218" s="64"/>
      <c r="K218" s="45"/>
      <c r="L218" s="46">
        <f>SUM(AX61:AX190)</f>
        <v>0</v>
      </c>
    </row>
    <row r="219" spans="1:12" ht="13.8" hidden="1" x14ac:dyDescent="0.25">
      <c r="A219" s="64"/>
      <c r="B219" s="65"/>
      <c r="C219" s="97" t="s">
        <v>194</v>
      </c>
      <c r="D219" s="97"/>
      <c r="E219" s="97"/>
      <c r="F219" s="97"/>
      <c r="G219" s="97"/>
      <c r="H219" s="97"/>
      <c r="I219" s="46"/>
      <c r="J219" s="64"/>
      <c r="K219" s="45"/>
      <c r="L219" s="46">
        <f>SUM(AY61:AY190)</f>
        <v>0</v>
      </c>
    </row>
    <row r="220" spans="1:12" ht="13.8" x14ac:dyDescent="0.25">
      <c r="A220" s="64"/>
      <c r="B220" s="65"/>
      <c r="C220" s="97" t="s">
        <v>195</v>
      </c>
      <c r="D220" s="97"/>
      <c r="E220" s="97"/>
      <c r="F220" s="99"/>
      <c r="G220" s="50">
        <f>Source!F64</f>
        <v>8.8695018000000001</v>
      </c>
      <c r="H220" s="64"/>
      <c r="I220" s="64"/>
      <c r="J220" s="64"/>
      <c r="K220" s="64"/>
      <c r="L220" s="64"/>
    </row>
    <row r="221" spans="1:12" ht="13.8" x14ac:dyDescent="0.25">
      <c r="A221" s="64"/>
      <c r="B221" s="65"/>
      <c r="C221" s="97" t="s">
        <v>196</v>
      </c>
      <c r="D221" s="97"/>
      <c r="E221" s="97"/>
      <c r="F221" s="99"/>
      <c r="G221" s="50">
        <f>Source!F65</f>
        <v>6.6649100000000003E-2</v>
      </c>
      <c r="H221" s="64"/>
      <c r="I221" s="64"/>
      <c r="J221" s="64"/>
      <c r="K221" s="64"/>
      <c r="L221" s="64"/>
    </row>
    <row r="224" spans="1:12" ht="16.8" x14ac:dyDescent="0.25">
      <c r="A224" s="105" t="s">
        <v>197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</row>
    <row r="225" spans="1:83" ht="27.6" x14ac:dyDescent="0.25">
      <c r="A225" s="75" t="s">
        <v>198</v>
      </c>
      <c r="B225" s="43" t="s">
        <v>95</v>
      </c>
      <c r="C225" s="43" t="str">
        <f>Source!G76</f>
        <v>Смена внутренних трубопроводов из стальных труб диаметром: до 80 мм</v>
      </c>
      <c r="D225" s="44" t="str">
        <f>Source!H76</f>
        <v>100 м</v>
      </c>
      <c r="E225" s="45">
        <f>Source!K76</f>
        <v>0.02</v>
      </c>
      <c r="F225" s="45"/>
      <c r="G225" s="45">
        <f>Source!I76</f>
        <v>0.02</v>
      </c>
      <c r="H225" s="46"/>
      <c r="I225" s="47"/>
      <c r="J225" s="46"/>
      <c r="K225" s="47"/>
      <c r="L225" s="46"/>
    </row>
    <row r="226" spans="1:83" x14ac:dyDescent="0.25">
      <c r="C226" s="48" t="str">
        <f>"Объем: "&amp;Source!I76&amp;"=2/"&amp;"100"</f>
        <v>Объем: 0,02=2/100</v>
      </c>
    </row>
    <row r="227" spans="1:83" ht="14.4" x14ac:dyDescent="0.25">
      <c r="A227" s="49"/>
      <c r="B227" s="45">
        <v>1</v>
      </c>
      <c r="C227" s="49" t="s">
        <v>52</v>
      </c>
      <c r="D227" s="44" t="s">
        <v>31</v>
      </c>
      <c r="E227" s="50"/>
      <c r="F227" s="45"/>
      <c r="G227" s="45">
        <f>Source!U76</f>
        <v>3.496</v>
      </c>
      <c r="H227" s="45"/>
      <c r="I227" s="45"/>
      <c r="J227" s="45"/>
      <c r="K227" s="45"/>
      <c r="L227" s="51">
        <f>SUM(L228:L228)-SUMIF(CE228:CE228,1,L228:L228)</f>
        <v>2524.29</v>
      </c>
    </row>
    <row r="228" spans="1:83" ht="14.4" x14ac:dyDescent="0.25">
      <c r="A228" s="43"/>
      <c r="B228" s="43" t="s">
        <v>96</v>
      </c>
      <c r="C228" s="43" t="s">
        <v>97</v>
      </c>
      <c r="D228" s="44" t="s">
        <v>31</v>
      </c>
      <c r="E228" s="45">
        <v>174.8</v>
      </c>
      <c r="F228" s="45"/>
      <c r="G228" s="45">
        <f>SmtRes!CX50</f>
        <v>3.496</v>
      </c>
      <c r="H228" s="46"/>
      <c r="I228" s="47"/>
      <c r="J228" s="46">
        <f>SmtRes!CZ50</f>
        <v>722.05</v>
      </c>
      <c r="K228" s="47"/>
      <c r="L228" s="46">
        <f>SmtRes!DI50</f>
        <v>2524.29</v>
      </c>
    </row>
    <row r="229" spans="1:83" ht="14.4" x14ac:dyDescent="0.25">
      <c r="A229" s="49"/>
      <c r="B229" s="45">
        <v>2</v>
      </c>
      <c r="C229" s="49" t="s">
        <v>55</v>
      </c>
      <c r="D229" s="44"/>
      <c r="E229" s="50"/>
      <c r="F229" s="45"/>
      <c r="G229" s="45"/>
      <c r="H229" s="45"/>
      <c r="I229" s="45"/>
      <c r="J229" s="45"/>
      <c r="K229" s="45"/>
      <c r="L229" s="51">
        <f>SUM(L230:L236)-SUMIF(CE230:CE236,1,L230:L236)</f>
        <v>22.700000000000003</v>
      </c>
    </row>
    <row r="230" spans="1:83" ht="14.4" x14ac:dyDescent="0.25">
      <c r="A230" s="49"/>
      <c r="B230" s="45"/>
      <c r="C230" s="49" t="s">
        <v>56</v>
      </c>
      <c r="D230" s="44" t="s">
        <v>31</v>
      </c>
      <c r="E230" s="50"/>
      <c r="F230" s="45"/>
      <c r="G230" s="45">
        <f>Source!V76</f>
        <v>1.44E-2</v>
      </c>
      <c r="H230" s="45"/>
      <c r="I230" s="45"/>
      <c r="J230" s="45"/>
      <c r="K230" s="45"/>
      <c r="L230" s="51">
        <f>SUMIF(CE231:CE236,1,L231:L236)</f>
        <v>9.82</v>
      </c>
      <c r="CE230">
        <v>1</v>
      </c>
    </row>
    <row r="231" spans="1:83" ht="41.4" x14ac:dyDescent="0.25">
      <c r="A231" s="43"/>
      <c r="B231" s="43" t="s">
        <v>57</v>
      </c>
      <c r="C231" s="43" t="s">
        <v>58</v>
      </c>
      <c r="D231" s="44" t="s">
        <v>59</v>
      </c>
      <c r="E231" s="45">
        <v>0.36</v>
      </c>
      <c r="F231" s="45"/>
      <c r="G231" s="45">
        <f>SmtRes!CX52</f>
        <v>7.1999999999999998E-3</v>
      </c>
      <c r="H231" s="46">
        <f>SmtRes!CZ52</f>
        <v>37.32</v>
      </c>
      <c r="I231" s="47">
        <f>SmtRes!AJ52</f>
        <v>1.54</v>
      </c>
      <c r="J231" s="46">
        <f>ROUND(H231*I231,2)</f>
        <v>57.47</v>
      </c>
      <c r="K231" s="47"/>
      <c r="L231" s="46">
        <f>SmtRes!DG52</f>
        <v>0.41</v>
      </c>
    </row>
    <row r="232" spans="1:83" ht="14.4" x14ac:dyDescent="0.25">
      <c r="A232" s="43"/>
      <c r="B232" s="43" t="s">
        <v>60</v>
      </c>
      <c r="C232" s="43" t="s">
        <v>61</v>
      </c>
      <c r="D232" s="44" t="s">
        <v>31</v>
      </c>
      <c r="E232" s="45">
        <f>SmtRes!DO52*SmtRes!AT52</f>
        <v>0.36</v>
      </c>
      <c r="F232" s="45"/>
      <c r="G232" s="45">
        <f>ROUND(E232*G225,7)</f>
        <v>7.1999999999999998E-3</v>
      </c>
      <c r="H232" s="46"/>
      <c r="I232" s="47"/>
      <c r="J232" s="46">
        <f>ROUND(SmtRes!AG52/SmtRes!DO52,2)</f>
        <v>641.22</v>
      </c>
      <c r="K232" s="47"/>
      <c r="L232" s="46">
        <f>SmtRes!DH52</f>
        <v>4.62</v>
      </c>
      <c r="CE232">
        <v>1</v>
      </c>
    </row>
    <row r="233" spans="1:83" ht="27.6" x14ac:dyDescent="0.25">
      <c r="A233" s="43"/>
      <c r="B233" s="43" t="s">
        <v>62</v>
      </c>
      <c r="C233" s="43" t="s">
        <v>63</v>
      </c>
      <c r="D233" s="44" t="s">
        <v>59</v>
      </c>
      <c r="E233" s="45">
        <v>0.36</v>
      </c>
      <c r="F233" s="45"/>
      <c r="G233" s="45">
        <f>SmtRes!CX53</f>
        <v>7.1999999999999998E-3</v>
      </c>
      <c r="H233" s="46"/>
      <c r="I233" s="47"/>
      <c r="J233" s="46">
        <f>SmtRes!CZ53</f>
        <v>643.29</v>
      </c>
      <c r="K233" s="47"/>
      <c r="L233" s="46">
        <f>SmtRes!DG53</f>
        <v>4.63</v>
      </c>
    </row>
    <row r="234" spans="1:83" ht="14.4" x14ac:dyDescent="0.25">
      <c r="A234" s="43"/>
      <c r="B234" s="43" t="s">
        <v>64</v>
      </c>
      <c r="C234" s="43" t="s">
        <v>65</v>
      </c>
      <c r="D234" s="44" t="s">
        <v>31</v>
      </c>
      <c r="E234" s="45">
        <f>SmtRes!DO53*SmtRes!AT53</f>
        <v>0.36</v>
      </c>
      <c r="F234" s="45"/>
      <c r="G234" s="45">
        <f>ROUND(E234*G225,7)</f>
        <v>7.1999999999999998E-3</v>
      </c>
      <c r="H234" s="46"/>
      <c r="I234" s="47"/>
      <c r="J234" s="46">
        <f>ROUND(SmtRes!AG53/SmtRes!DO53,2)</f>
        <v>722.05</v>
      </c>
      <c r="K234" s="47"/>
      <c r="L234" s="46">
        <f>SmtRes!DH53</f>
        <v>5.2</v>
      </c>
      <c r="CE234">
        <v>1</v>
      </c>
    </row>
    <row r="235" spans="1:83" ht="14.4" x14ac:dyDescent="0.25">
      <c r="A235" s="43"/>
      <c r="B235" s="43" t="s">
        <v>98</v>
      </c>
      <c r="C235" s="43" t="s">
        <v>99</v>
      </c>
      <c r="D235" s="44" t="s">
        <v>59</v>
      </c>
      <c r="E235" s="45">
        <v>8.9</v>
      </c>
      <c r="F235" s="45"/>
      <c r="G235" s="45">
        <f>SmtRes!CX54</f>
        <v>0.17799999999999999</v>
      </c>
      <c r="H235" s="46">
        <f>SmtRes!CZ54</f>
        <v>4.3499999999999996</v>
      </c>
      <c r="I235" s="47">
        <f>SmtRes!AJ54</f>
        <v>1.23</v>
      </c>
      <c r="J235" s="46">
        <f>ROUND(H235*I235,2)</f>
        <v>5.35</v>
      </c>
      <c r="K235" s="47"/>
      <c r="L235" s="46">
        <f>SmtRes!DG54</f>
        <v>0.95</v>
      </c>
    </row>
    <row r="236" spans="1:83" ht="27.6" x14ac:dyDescent="0.25">
      <c r="A236" s="43"/>
      <c r="B236" s="43" t="s">
        <v>100</v>
      </c>
      <c r="C236" s="43" t="s">
        <v>101</v>
      </c>
      <c r="D236" s="44" t="s">
        <v>59</v>
      </c>
      <c r="E236" s="45">
        <v>25.9</v>
      </c>
      <c r="F236" s="45"/>
      <c r="G236" s="45">
        <f>SmtRes!CX55</f>
        <v>0.51800000000000002</v>
      </c>
      <c r="H236" s="46"/>
      <c r="I236" s="47"/>
      <c r="J236" s="46">
        <f>SmtRes!CZ55</f>
        <v>32.26</v>
      </c>
      <c r="K236" s="47"/>
      <c r="L236" s="46">
        <f>SmtRes!DG55</f>
        <v>16.71</v>
      </c>
    </row>
    <row r="237" spans="1:83" ht="14.4" x14ac:dyDescent="0.25">
      <c r="A237" s="49"/>
      <c r="B237" s="45">
        <v>4</v>
      </c>
      <c r="C237" s="49" t="s">
        <v>66</v>
      </c>
      <c r="D237" s="44"/>
      <c r="E237" s="50"/>
      <c r="F237" s="45"/>
      <c r="G237" s="45"/>
      <c r="H237" s="45"/>
      <c r="I237" s="45"/>
      <c r="J237" s="45"/>
      <c r="K237" s="45"/>
      <c r="L237" s="51">
        <f>SUM(L238:L241)-SUMIF(CE238:CE241,1,L238:L241)</f>
        <v>42.6</v>
      </c>
    </row>
    <row r="238" spans="1:83" ht="14.4" x14ac:dyDescent="0.25">
      <c r="A238" s="43"/>
      <c r="B238" s="43" t="s">
        <v>102</v>
      </c>
      <c r="C238" s="43" t="s">
        <v>103</v>
      </c>
      <c r="D238" s="44" t="s">
        <v>104</v>
      </c>
      <c r="E238" s="45">
        <v>2.0499999999999998</v>
      </c>
      <c r="F238" s="45"/>
      <c r="G238" s="45">
        <f>SmtRes!CX56</f>
        <v>4.1000000000000002E-2</v>
      </c>
      <c r="H238" s="46">
        <f>SmtRes!CZ56</f>
        <v>340.41</v>
      </c>
      <c r="I238" s="47">
        <f>SmtRes!AI56</f>
        <v>1.5</v>
      </c>
      <c r="J238" s="46">
        <f>ROUND(H238*I238,2)</f>
        <v>510.62</v>
      </c>
      <c r="K238" s="47"/>
      <c r="L238" s="46">
        <f>SmtRes!DF56</f>
        <v>20.94</v>
      </c>
    </row>
    <row r="239" spans="1:83" ht="14.4" x14ac:dyDescent="0.25">
      <c r="A239" s="43"/>
      <c r="B239" s="43" t="s">
        <v>105</v>
      </c>
      <c r="C239" s="43" t="s">
        <v>106</v>
      </c>
      <c r="D239" s="44" t="s">
        <v>104</v>
      </c>
      <c r="E239" s="45">
        <v>2.52</v>
      </c>
      <c r="F239" s="45"/>
      <c r="G239" s="45">
        <f>SmtRes!CX57</f>
        <v>5.04E-2</v>
      </c>
      <c r="H239" s="46">
        <f>SmtRes!CZ57</f>
        <v>114.64</v>
      </c>
      <c r="I239" s="47">
        <f>SmtRes!AI57</f>
        <v>0.85</v>
      </c>
      <c r="J239" s="46">
        <f>ROUND(H239*I239,2)</f>
        <v>97.44</v>
      </c>
      <c r="K239" s="47"/>
      <c r="L239" s="46">
        <f>SmtRes!DF57</f>
        <v>4.91</v>
      </c>
    </row>
    <row r="240" spans="1:83" ht="27.6" x14ac:dyDescent="0.25">
      <c r="A240" s="43"/>
      <c r="B240" s="43" t="s">
        <v>107</v>
      </c>
      <c r="C240" s="43" t="s">
        <v>108</v>
      </c>
      <c r="D240" s="44" t="s">
        <v>87</v>
      </c>
      <c r="E240" s="45">
        <v>1E-3</v>
      </c>
      <c r="F240" s="45"/>
      <c r="G240" s="45">
        <f>SmtRes!CX58</f>
        <v>2.0000000000000002E-5</v>
      </c>
      <c r="H240" s="46">
        <f>SmtRes!CZ58</f>
        <v>97282.880000000005</v>
      </c>
      <c r="I240" s="47">
        <f>SmtRes!AI58</f>
        <v>1.1200000000000001</v>
      </c>
      <c r="J240" s="46">
        <f>ROUND(H240*I240,2)</f>
        <v>108956.83</v>
      </c>
      <c r="K240" s="47"/>
      <c r="L240" s="46">
        <f>SmtRes!DF58</f>
        <v>2.1800000000000002</v>
      </c>
    </row>
    <row r="241" spans="1:82" ht="55.2" x14ac:dyDescent="0.25">
      <c r="A241" s="43"/>
      <c r="B241" s="43" t="s">
        <v>109</v>
      </c>
      <c r="C241" s="43" t="s">
        <v>110</v>
      </c>
      <c r="D241" s="44" t="s">
        <v>111</v>
      </c>
      <c r="E241" s="45">
        <v>6</v>
      </c>
      <c r="F241" s="45"/>
      <c r="G241" s="45">
        <f>SmtRes!CX59</f>
        <v>0.12</v>
      </c>
      <c r="H241" s="46">
        <f>SmtRes!CZ59</f>
        <v>155.63</v>
      </c>
      <c r="I241" s="47">
        <f>SmtRes!AI59</f>
        <v>0.78</v>
      </c>
      <c r="J241" s="46">
        <f>ROUND(H241*I241,2)</f>
        <v>121.39</v>
      </c>
      <c r="K241" s="47"/>
      <c r="L241" s="46">
        <f>SmtRes!DF59</f>
        <v>14.57</v>
      </c>
    </row>
    <row r="242" spans="1:82" ht="14.4" x14ac:dyDescent="0.25">
      <c r="A242" s="43"/>
      <c r="B242" s="43" t="str">
        <f>EtalonRes!I61</f>
        <v>18.1.09.06</v>
      </c>
      <c r="C242" s="43" t="str">
        <f>EtalonRes!K61</f>
        <v>Арматура трубопроводная муфтовая</v>
      </c>
      <c r="D242" s="44" t="str">
        <f>EtalonRes!O61</f>
        <v>ШТ</v>
      </c>
      <c r="E242" s="45">
        <f>EtalonRes!X61</f>
        <v>0</v>
      </c>
      <c r="F242" s="45"/>
      <c r="G242" s="45">
        <f>ROUND(EtalonRes!AG61*Source!I76,7)</f>
        <v>0</v>
      </c>
      <c r="H242" s="46"/>
      <c r="I242" s="47"/>
      <c r="J242" s="46"/>
      <c r="K242" s="47"/>
      <c r="L242" s="46"/>
    </row>
    <row r="243" spans="1:82" ht="14.4" x14ac:dyDescent="0.25">
      <c r="A243" s="43"/>
      <c r="B243" s="43" t="str">
        <f>EtalonRes!I62</f>
        <v>18.2.07.01</v>
      </c>
      <c r="C243" s="43" t="str">
        <f>EtalonRes!K62</f>
        <v>Трубопроводы с гильзами</v>
      </c>
      <c r="D243" s="44" t="str">
        <f>EtalonRes!O62</f>
        <v>м</v>
      </c>
      <c r="E243" s="45">
        <f>EtalonRes!X62</f>
        <v>100</v>
      </c>
      <c r="F243" s="45"/>
      <c r="G243" s="45">
        <f>ROUND(EtalonRes!AG62*Source!I76,7)</f>
        <v>2</v>
      </c>
      <c r="H243" s="46"/>
      <c r="I243" s="47"/>
      <c r="J243" s="46"/>
      <c r="K243" s="47"/>
      <c r="L243" s="46"/>
    </row>
    <row r="244" spans="1:82" ht="14.4" x14ac:dyDescent="0.25">
      <c r="A244" s="43"/>
      <c r="B244" s="43" t="str">
        <f>EtalonRes!I63</f>
        <v>23.1.02.07</v>
      </c>
      <c r="C244" s="52" t="str">
        <f>EtalonRes!K63</f>
        <v>Крепления</v>
      </c>
      <c r="D244" s="53" t="str">
        <f>EtalonRes!O63</f>
        <v>кг</v>
      </c>
      <c r="E244" s="54">
        <f>EtalonRes!X63</f>
        <v>0</v>
      </c>
      <c r="F244" s="54"/>
      <c r="G244" s="54">
        <f>ROUND(EtalonRes!AG63*Source!I76,7)</f>
        <v>0</v>
      </c>
      <c r="H244" s="55"/>
      <c r="I244" s="56"/>
      <c r="J244" s="55"/>
      <c r="K244" s="56"/>
      <c r="L244" s="55"/>
    </row>
    <row r="245" spans="1:82" ht="14.4" x14ac:dyDescent="0.25">
      <c r="A245" s="43"/>
      <c r="B245" s="43"/>
      <c r="C245" s="57" t="s">
        <v>70</v>
      </c>
      <c r="D245" s="44"/>
      <c r="E245" s="45"/>
      <c r="F245" s="45"/>
      <c r="G245" s="45"/>
      <c r="H245" s="46"/>
      <c r="I245" s="47"/>
      <c r="J245" s="46"/>
      <c r="K245" s="47"/>
      <c r="L245" s="46">
        <f>L227+L229+L230+L237</f>
        <v>2599.41</v>
      </c>
    </row>
    <row r="246" spans="1:82" ht="55.2" x14ac:dyDescent="0.25">
      <c r="A246" s="75" t="s">
        <v>199</v>
      </c>
      <c r="B246" s="43" t="str">
        <f>Source!F77</f>
        <v>23.3.06.02-0009</v>
      </c>
      <c r="C246" s="43" t="str">
        <f>Source!G77</f>
        <v>Трубы стальные сварные оцинкованные водогазопроводные с резьбой, обыкновенные, номинальный диаметр 90 мм, толщина стенки 4 мм</v>
      </c>
      <c r="D246" s="44" t="str">
        <f>Source!H77</f>
        <v>м</v>
      </c>
      <c r="E246" s="45">
        <f>SmtRes!AT60</f>
        <v>100</v>
      </c>
      <c r="F246" s="45"/>
      <c r="G246" s="45">
        <f>Source!I77</f>
        <v>2</v>
      </c>
      <c r="H246" s="46">
        <f>Source!AL77+Source!AO77+Source!AM77+Source!AN77</f>
        <v>960.41</v>
      </c>
      <c r="I246" s="47">
        <f>IF(Source!BC77&lt;&gt;0,Source!BC77,1)</f>
        <v>0.8</v>
      </c>
      <c r="J246" s="46">
        <f>ROUND(H246*I246,2)</f>
        <v>768.33</v>
      </c>
      <c r="K246" s="47"/>
      <c r="L246" s="46">
        <f>Source!P77</f>
        <v>1536.66</v>
      </c>
      <c r="AD246">
        <f>ROUND((Source!AT77/100)*((ROUND(ROUND(Source!AO77,2)*Source!I77,2)+ROUND(ROUND(Source!AN77,2)*Source!I77,2))),2)</f>
        <v>0</v>
      </c>
      <c r="AE246">
        <f>ROUND((Source!AU77/100)*((ROUND(ROUND(Source!AO77,2)*Source!I77,2)+ROUND(ROUND(Source!AN77,2)*Source!I77,2))),2)</f>
        <v>0</v>
      </c>
      <c r="AN246">
        <f>L246</f>
        <v>1536.66</v>
      </c>
      <c r="AW246">
        <f>L246</f>
        <v>1536.66</v>
      </c>
      <c r="AZ246">
        <f>Source!X77</f>
        <v>0</v>
      </c>
      <c r="BA246">
        <f>Source!Y77</f>
        <v>0</v>
      </c>
      <c r="CD246">
        <v>1</v>
      </c>
    </row>
    <row r="247" spans="1:82" ht="82.8" x14ac:dyDescent="0.25">
      <c r="A247" s="75" t="s">
        <v>200</v>
      </c>
      <c r="B247" s="43" t="str">
        <f>Source!F78</f>
        <v>24.1.02.01-0022</v>
      </c>
      <c r="C247" s="43" t="str">
        <f>Source!G78</f>
        <v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80 до 86 мм</v>
      </c>
      <c r="D247" s="44" t="str">
        <f>Source!H78</f>
        <v>ШТ</v>
      </c>
      <c r="E247" s="45">
        <f>SmtRes!AT62</f>
        <v>100</v>
      </c>
      <c r="F247" s="45"/>
      <c r="G247" s="45">
        <f>Source!I78</f>
        <v>2</v>
      </c>
      <c r="H247" s="46">
        <f>Source!AL78+Source!AO78+Source!AM78+Source!AN78</f>
        <v>130.96</v>
      </c>
      <c r="I247" s="47">
        <f>IF(Source!BC78&lt;&gt;0,Source!BC78,1)</f>
        <v>1.24</v>
      </c>
      <c r="J247" s="46">
        <f>ROUND(H247*I247,2)</f>
        <v>162.38999999999999</v>
      </c>
      <c r="K247" s="47"/>
      <c r="L247" s="46">
        <f>Source!P78</f>
        <v>324.77999999999997</v>
      </c>
      <c r="AD247">
        <f>ROUND((Source!AT78/100)*((ROUND(ROUND(Source!AO78,2)*Source!I78,2)+ROUND(ROUND(Source!AN78,2)*Source!I78,2))),2)</f>
        <v>0</v>
      </c>
      <c r="AE247">
        <f>ROUND((Source!AU78/100)*((ROUND(ROUND(Source!AO78,2)*Source!I78,2)+ROUND(ROUND(Source!AN78,2)*Source!I78,2))),2)</f>
        <v>0</v>
      </c>
      <c r="AN247">
        <f>L247</f>
        <v>324.77999999999997</v>
      </c>
      <c r="AW247">
        <f>L247</f>
        <v>324.77999999999997</v>
      </c>
      <c r="AZ247">
        <f>Source!X78</f>
        <v>0</v>
      </c>
      <c r="BA247">
        <f>Source!Y78</f>
        <v>0</v>
      </c>
      <c r="CD247">
        <v>1</v>
      </c>
    </row>
    <row r="248" spans="1:82" ht="55.2" x14ac:dyDescent="0.25">
      <c r="A248" s="75" t="s">
        <v>201</v>
      </c>
      <c r="B248" s="43" t="str">
        <f>Source!F79</f>
        <v>23.8.04.06-0070</v>
      </c>
      <c r="C248" s="43" t="str">
        <f>Source!G79</f>
        <v>Отвод 90° с радиусом кривизны R=1,5 Ду на давление до 16 МПа, номинальный диаметр 80 мм, наружный диаметр 89 мм, толщина стенки 5 мм</v>
      </c>
      <c r="D248" s="44" t="str">
        <f>Source!H79</f>
        <v>ШТ</v>
      </c>
      <c r="E248" s="45">
        <f>SmtRes!AT61</f>
        <v>50</v>
      </c>
      <c r="F248" s="45"/>
      <c r="G248" s="45">
        <f>Source!I79</f>
        <v>1</v>
      </c>
      <c r="H248" s="46"/>
      <c r="I248" s="47"/>
      <c r="J248" s="46">
        <f>Source!AK79</f>
        <v>397.84</v>
      </c>
      <c r="K248" s="47"/>
      <c r="L248" s="46">
        <f>Source!P79</f>
        <v>397.84</v>
      </c>
      <c r="AD248">
        <f>ROUND((Source!AT79/100)*((ROUND(ROUND(Source!AO79,2)*Source!I79,2)+ROUND(ROUND(Source!AN79,2)*Source!I79,2))),2)</f>
        <v>0</v>
      </c>
      <c r="AE248">
        <f>ROUND((Source!AU79/100)*((ROUND(ROUND(Source!AO79,2)*Source!I79,2)+ROUND(ROUND(Source!AN79,2)*Source!I79,2))),2)</f>
        <v>0</v>
      </c>
      <c r="AN248">
        <f>L248</f>
        <v>397.84</v>
      </c>
      <c r="AW248">
        <f>L248</f>
        <v>397.84</v>
      </c>
      <c r="AZ248">
        <f>Source!X79</f>
        <v>0</v>
      </c>
      <c r="BA248">
        <f>Source!Y79</f>
        <v>0</v>
      </c>
      <c r="CD248">
        <v>1</v>
      </c>
    </row>
    <row r="249" spans="1:82" ht="14.4" x14ac:dyDescent="0.25">
      <c r="A249" s="43"/>
      <c r="B249" s="43"/>
      <c r="C249" s="43" t="s">
        <v>71</v>
      </c>
      <c r="D249" s="44"/>
      <c r="E249" s="45"/>
      <c r="F249" s="45"/>
      <c r="G249" s="45"/>
      <c r="H249" s="46"/>
      <c r="I249" s="47"/>
      <c r="J249" s="46"/>
      <c r="K249" s="47"/>
      <c r="L249" s="46">
        <f>SUM(AR225:AR252)+SUM(AS225:AS252)+SUM(AT225:AT252)+SUM(AU225:AU252)+SUM(AV225:AV252)</f>
        <v>2534.11</v>
      </c>
    </row>
    <row r="250" spans="1:82" ht="41.4" x14ac:dyDescent="0.25">
      <c r="A250" s="43"/>
      <c r="B250" s="43" t="s">
        <v>90</v>
      </c>
      <c r="C250" s="43" t="s">
        <v>91</v>
      </c>
      <c r="D250" s="44" t="s">
        <v>74</v>
      </c>
      <c r="E250" s="45">
        <f>Source!BZ76</f>
        <v>103</v>
      </c>
      <c r="F250" s="45"/>
      <c r="G250" s="45">
        <f>Source!AT76</f>
        <v>103</v>
      </c>
      <c r="H250" s="46"/>
      <c r="I250" s="47"/>
      <c r="J250" s="46"/>
      <c r="K250" s="47"/>
      <c r="L250" s="46">
        <f>SUM(AZ225:AZ252)</f>
        <v>2610.13</v>
      </c>
    </row>
    <row r="251" spans="1:82" ht="41.4" x14ac:dyDescent="0.25">
      <c r="A251" s="52"/>
      <c r="B251" s="52" t="s">
        <v>92</v>
      </c>
      <c r="C251" s="52" t="s">
        <v>93</v>
      </c>
      <c r="D251" s="53" t="s">
        <v>74</v>
      </c>
      <c r="E251" s="54">
        <f>Source!CA76</f>
        <v>52</v>
      </c>
      <c r="F251" s="54"/>
      <c r="G251" s="54">
        <f>Source!AU76</f>
        <v>52</v>
      </c>
      <c r="H251" s="55"/>
      <c r="I251" s="56"/>
      <c r="J251" s="55"/>
      <c r="K251" s="56"/>
      <c r="L251" s="55">
        <f>SUM(BA225:BA252)</f>
        <v>1317.74</v>
      </c>
    </row>
    <row r="252" spans="1:82" ht="13.8" x14ac:dyDescent="0.25">
      <c r="C252" s="103" t="s">
        <v>77</v>
      </c>
      <c r="D252" s="103"/>
      <c r="E252" s="103"/>
      <c r="F252" s="103"/>
      <c r="G252" s="103"/>
      <c r="H252" s="103"/>
      <c r="I252" s="104">
        <f>IF(E225&lt;&gt;0,K252/E225,0)</f>
        <v>439327.99999999994</v>
      </c>
      <c r="J252" s="104"/>
      <c r="K252" s="104">
        <f>L227+L229+L237+L250+L251+L230+SUM(L246:L248)</f>
        <v>8786.56</v>
      </c>
      <c r="L252" s="104"/>
      <c r="AD252">
        <f>ROUND((Source!AT76/100)*((ROUND(SUMIF(SmtRes!AQ50:'SmtRes'!AQ62,"=1",SmtRes!AD50:'SmtRes'!AD62)*Source!I76,2)+ROUND(SUMIF(SmtRes!AQ50:'SmtRes'!AQ62,"=1",SmtRes!AC50:'SmtRes'!AC62)*Source!I76,2))),2)</f>
        <v>42.96</v>
      </c>
      <c r="AE252">
        <f>ROUND((Source!AU76/100)*((ROUND(SUMIF(SmtRes!AQ50:'SmtRes'!AQ62,"=1",SmtRes!AD50:'SmtRes'!AD62)*Source!I76,2)+ROUND(SUMIF(SmtRes!AQ50:'SmtRes'!AQ62,"=1",SmtRes!AC50:'SmtRes'!AC62)*Source!I76,2))),2)</f>
        <v>21.69</v>
      </c>
      <c r="AN252" s="59">
        <f>L227+L229+L237+L250+L251+L230</f>
        <v>6527.2799999999988</v>
      </c>
      <c r="AO252" s="59">
        <f>L229</f>
        <v>22.700000000000003</v>
      </c>
      <c r="AQ252" t="s">
        <v>78</v>
      </c>
      <c r="AR252" s="59">
        <f>L227</f>
        <v>2524.29</v>
      </c>
      <c r="AT252" s="59">
        <f>L230</f>
        <v>9.82</v>
      </c>
      <c r="AV252" t="s">
        <v>78</v>
      </c>
      <c r="AW252" s="59">
        <f>L237</f>
        <v>42.6</v>
      </c>
      <c r="AZ252">
        <f>Source!X76</f>
        <v>2610.13</v>
      </c>
      <c r="BA252">
        <f>Source!Y76</f>
        <v>1317.74</v>
      </c>
      <c r="CD252">
        <v>1</v>
      </c>
    </row>
    <row r="253" spans="1:82" ht="27.6" x14ac:dyDescent="0.25">
      <c r="A253" s="75" t="s">
        <v>202</v>
      </c>
      <c r="B253" s="43" t="s">
        <v>203</v>
      </c>
      <c r="C253" s="43" t="str">
        <f>Source!G80</f>
        <v>Разборка облицовки из гипсокартонных листов: потолков</v>
      </c>
      <c r="D253" s="44" t="str">
        <f>Source!H80</f>
        <v>100 м2</v>
      </c>
      <c r="E253" s="45">
        <f>Source!K80</f>
        <v>0.02</v>
      </c>
      <c r="F253" s="45"/>
      <c r="G253" s="45">
        <f>Source!I80</f>
        <v>0.02</v>
      </c>
      <c r="H253" s="46"/>
      <c r="I253" s="47"/>
      <c r="J253" s="46"/>
      <c r="K253" s="47"/>
      <c r="L253" s="46"/>
    </row>
    <row r="254" spans="1:82" x14ac:dyDescent="0.25">
      <c r="C254" s="48" t="str">
        <f>"Объем: "&amp;Source!I80&amp;"=2/"&amp;"100"</f>
        <v>Объем: 0,02=2/100</v>
      </c>
    </row>
    <row r="255" spans="1:82" ht="14.4" x14ac:dyDescent="0.25">
      <c r="A255" s="49"/>
      <c r="B255" s="45">
        <v>1</v>
      </c>
      <c r="C255" s="49" t="s">
        <v>52</v>
      </c>
      <c r="D255" s="44" t="s">
        <v>31</v>
      </c>
      <c r="E255" s="50"/>
      <c r="F255" s="45"/>
      <c r="G255" s="45">
        <f>Source!U80</f>
        <v>0.19159999999999999</v>
      </c>
      <c r="H255" s="45"/>
      <c r="I255" s="45"/>
      <c r="J255" s="45"/>
      <c r="K255" s="45"/>
      <c r="L255" s="51">
        <f>SUM(L256:L256)-SUMIF(CE256:CE256,1,L256:L256)</f>
        <v>124.41</v>
      </c>
    </row>
    <row r="256" spans="1:82" ht="14.4" x14ac:dyDescent="0.25">
      <c r="A256" s="43"/>
      <c r="B256" s="43" t="s">
        <v>204</v>
      </c>
      <c r="C256" s="43" t="s">
        <v>205</v>
      </c>
      <c r="D256" s="44" t="s">
        <v>31</v>
      </c>
      <c r="E256" s="45">
        <v>9.58</v>
      </c>
      <c r="F256" s="45"/>
      <c r="G256" s="45">
        <f>SmtRes!CX63</f>
        <v>0.19159999999999999</v>
      </c>
      <c r="H256" s="46"/>
      <c r="I256" s="47"/>
      <c r="J256" s="46">
        <f>SmtRes!CZ63</f>
        <v>649.29999999999995</v>
      </c>
      <c r="K256" s="47"/>
      <c r="L256" s="46">
        <f>SmtRes!DI63</f>
        <v>124.41</v>
      </c>
    </row>
    <row r="257" spans="1:101" ht="14.4" x14ac:dyDescent="0.25">
      <c r="A257" s="49"/>
      <c r="B257" s="45">
        <v>2</v>
      </c>
      <c r="C257" s="49" t="s">
        <v>55</v>
      </c>
      <c r="D257" s="44"/>
      <c r="E257" s="50"/>
      <c r="F257" s="45"/>
      <c r="G257" s="45"/>
      <c r="H257" s="45"/>
      <c r="I257" s="45"/>
      <c r="J257" s="45"/>
      <c r="K257" s="45"/>
      <c r="L257" s="51">
        <f>SUM(L258:L260)-SUMIF(CE258:CE260,1,L258:L260)</f>
        <v>0.22999999999999954</v>
      </c>
    </row>
    <row r="258" spans="1:101" ht="14.4" x14ac:dyDescent="0.25">
      <c r="A258" s="49"/>
      <c r="B258" s="45"/>
      <c r="C258" s="49" t="s">
        <v>56</v>
      </c>
      <c r="D258" s="44" t="s">
        <v>31</v>
      </c>
      <c r="E258" s="50"/>
      <c r="F258" s="45"/>
      <c r="G258" s="45">
        <f>Source!V80</f>
        <v>4.0000000000000001E-3</v>
      </c>
      <c r="H258" s="45"/>
      <c r="I258" s="45"/>
      <c r="J258" s="45"/>
      <c r="K258" s="45"/>
      <c r="L258" s="51">
        <f>SUMIF(CE259:CE260,1,L259:L260)</f>
        <v>2.56</v>
      </c>
      <c r="CE258">
        <v>1</v>
      </c>
    </row>
    <row r="259" spans="1:101" ht="41.4" x14ac:dyDescent="0.25">
      <c r="A259" s="43"/>
      <c r="B259" s="43" t="s">
        <v>57</v>
      </c>
      <c r="C259" s="43" t="s">
        <v>58</v>
      </c>
      <c r="D259" s="44" t="s">
        <v>59</v>
      </c>
      <c r="E259" s="45">
        <v>0.2</v>
      </c>
      <c r="F259" s="45"/>
      <c r="G259" s="45">
        <f>SmtRes!CX65</f>
        <v>4.0000000000000001E-3</v>
      </c>
      <c r="H259" s="46">
        <f>SmtRes!CZ65</f>
        <v>37.32</v>
      </c>
      <c r="I259" s="47">
        <f>SmtRes!AJ65</f>
        <v>1.54</v>
      </c>
      <c r="J259" s="46">
        <f>ROUND(H259*I259,2)</f>
        <v>57.47</v>
      </c>
      <c r="K259" s="47"/>
      <c r="L259" s="46">
        <f>SmtRes!DG65</f>
        <v>0.23</v>
      </c>
    </row>
    <row r="260" spans="1:101" ht="14.4" x14ac:dyDescent="0.25">
      <c r="A260" s="43"/>
      <c r="B260" s="43" t="s">
        <v>60</v>
      </c>
      <c r="C260" s="52" t="s">
        <v>61</v>
      </c>
      <c r="D260" s="53" t="s">
        <v>31</v>
      </c>
      <c r="E260" s="54">
        <f>SmtRes!DO65*SmtRes!AT65</f>
        <v>0.2</v>
      </c>
      <c r="F260" s="54"/>
      <c r="G260" s="54">
        <f>ROUND(E260*G253,7)</f>
        <v>4.0000000000000001E-3</v>
      </c>
      <c r="H260" s="55"/>
      <c r="I260" s="56"/>
      <c r="J260" s="55">
        <f>ROUND(SmtRes!AG65/SmtRes!DO65,2)</f>
        <v>641.22</v>
      </c>
      <c r="K260" s="56"/>
      <c r="L260" s="55">
        <f>SmtRes!DH65</f>
        <v>2.56</v>
      </c>
      <c r="CE260">
        <v>1</v>
      </c>
    </row>
    <row r="261" spans="1:101" ht="14.4" x14ac:dyDescent="0.25">
      <c r="A261" s="43"/>
      <c r="B261" s="43"/>
      <c r="C261" s="57" t="s">
        <v>70</v>
      </c>
      <c r="D261" s="44"/>
      <c r="E261" s="45"/>
      <c r="F261" s="45"/>
      <c r="G261" s="45"/>
      <c r="H261" s="46"/>
      <c r="I261" s="47"/>
      <c r="J261" s="46"/>
      <c r="K261" s="47"/>
      <c r="L261" s="46">
        <f>L255+L257+L258</f>
        <v>127.2</v>
      </c>
    </row>
    <row r="262" spans="1:101" ht="14.4" x14ac:dyDescent="0.25">
      <c r="A262" s="43"/>
      <c r="B262" s="43"/>
      <c r="C262" s="43" t="s">
        <v>71</v>
      </c>
      <c r="D262" s="44"/>
      <c r="E262" s="45"/>
      <c r="F262" s="45"/>
      <c r="G262" s="45"/>
      <c r="H262" s="46"/>
      <c r="I262" s="47"/>
      <c r="J262" s="46"/>
      <c r="K262" s="47"/>
      <c r="L262" s="46">
        <f>SUM(AR253:AR265)+SUM(AS253:AS265)+SUM(AT253:AT265)+SUM(AU253:AU265)+SUM(AV253:AV265)</f>
        <v>126.97</v>
      </c>
    </row>
    <row r="263" spans="1:101" ht="27.6" x14ac:dyDescent="0.25">
      <c r="A263" s="43"/>
      <c r="B263" s="43" t="s">
        <v>72</v>
      </c>
      <c r="C263" s="43" t="s">
        <v>73</v>
      </c>
      <c r="D263" s="44" t="s">
        <v>74</v>
      </c>
      <c r="E263" s="45">
        <f>Source!BZ80</f>
        <v>90</v>
      </c>
      <c r="F263" s="45"/>
      <c r="G263" s="45">
        <f>Source!AT80</f>
        <v>90</v>
      </c>
      <c r="H263" s="46"/>
      <c r="I263" s="47"/>
      <c r="J263" s="46"/>
      <c r="K263" s="47"/>
      <c r="L263" s="46">
        <f>SUM(AZ253:AZ265)</f>
        <v>114.27</v>
      </c>
    </row>
    <row r="264" spans="1:101" ht="27.6" x14ac:dyDescent="0.25">
      <c r="A264" s="52"/>
      <c r="B264" s="52" t="s">
        <v>75</v>
      </c>
      <c r="C264" s="52" t="s">
        <v>76</v>
      </c>
      <c r="D264" s="53" t="s">
        <v>74</v>
      </c>
      <c r="E264" s="54">
        <f>Source!CA80</f>
        <v>45</v>
      </c>
      <c r="F264" s="54"/>
      <c r="G264" s="54">
        <f>Source!AU80</f>
        <v>45</v>
      </c>
      <c r="H264" s="55"/>
      <c r="I264" s="56"/>
      <c r="J264" s="55"/>
      <c r="K264" s="56"/>
      <c r="L264" s="55">
        <f>SUM(BA253:BA265)</f>
        <v>57.14</v>
      </c>
    </row>
    <row r="265" spans="1:101" ht="13.8" x14ac:dyDescent="0.25">
      <c r="C265" s="103" t="s">
        <v>77</v>
      </c>
      <c r="D265" s="103"/>
      <c r="E265" s="103"/>
      <c r="F265" s="103"/>
      <c r="G265" s="103"/>
      <c r="H265" s="103"/>
      <c r="I265" s="104">
        <f>IF(E253&lt;&gt;0,K265/E253,0)</f>
        <v>14930.5</v>
      </c>
      <c r="J265" s="104"/>
      <c r="K265" s="104">
        <f>L255+L257+L263+L264+L258</f>
        <v>298.61</v>
      </c>
      <c r="L265" s="104"/>
      <c r="AD265">
        <f>ROUND((Source!AT80/100)*((ROUND(SUMIF(SmtRes!AQ63:'SmtRes'!AQ65,"=1",SmtRes!AD63:'SmtRes'!AD65)*Source!I80,2)+ROUND(SUMIF(SmtRes!AQ63:'SmtRes'!AQ65,"=1",SmtRes!AC63:'SmtRes'!AC65)*Source!I80,2))),2)</f>
        <v>23.23</v>
      </c>
      <c r="AE265">
        <f>ROUND((Source!AU80/100)*((ROUND(SUMIF(SmtRes!AQ63:'SmtRes'!AQ65,"=1",SmtRes!AD63:'SmtRes'!AD65)*Source!I80,2)+ROUND(SUMIF(SmtRes!AQ63:'SmtRes'!AQ65,"=1",SmtRes!AC63:'SmtRes'!AC65)*Source!I80,2))),2)</f>
        <v>11.61</v>
      </c>
      <c r="AN265" s="59">
        <f>L255+L257+L263+L264+L258</f>
        <v>298.61</v>
      </c>
      <c r="AO265" s="59">
        <f>L257</f>
        <v>0.22999999999999954</v>
      </c>
      <c r="AQ265" t="s">
        <v>78</v>
      </c>
      <c r="AR265" s="59">
        <f>L255</f>
        <v>124.41</v>
      </c>
      <c r="AT265" s="59">
        <f>L258</f>
        <v>2.56</v>
      </c>
      <c r="AV265" t="s">
        <v>78</v>
      </c>
      <c r="AW265">
        <f>0</f>
        <v>0</v>
      </c>
      <c r="AZ265">
        <f>Source!X80</f>
        <v>114.27</v>
      </c>
      <c r="BA265">
        <f>Source!Y80</f>
        <v>57.14</v>
      </c>
      <c r="CD265">
        <v>1</v>
      </c>
    </row>
    <row r="266" spans="1:101" ht="41.4" x14ac:dyDescent="0.25">
      <c r="A266" s="75" t="s">
        <v>206</v>
      </c>
      <c r="B266" s="43" t="s">
        <v>207</v>
      </c>
      <c r="C266" s="43" t="str">
        <f>Source!G81</f>
        <v>Устройство подвесных потолков из гипсокартонных листов (ГКЛ): одноуровневых</v>
      </c>
      <c r="D266" s="44" t="str">
        <f>Source!H81</f>
        <v>100 м2</v>
      </c>
      <c r="E266" s="45">
        <f>Source!K81</f>
        <v>0.02</v>
      </c>
      <c r="F266" s="45"/>
      <c r="G266" s="45">
        <f>Source!I81</f>
        <v>0.02</v>
      </c>
      <c r="H266" s="46"/>
      <c r="I266" s="47"/>
      <c r="J266" s="46"/>
      <c r="K266" s="47"/>
      <c r="L266" s="46"/>
    </row>
    <row r="267" spans="1:101" ht="52.8" x14ac:dyDescent="0.25">
      <c r="B267" s="60" t="s">
        <v>137</v>
      </c>
      <c r="C267" s="106" t="s">
        <v>138</v>
      </c>
      <c r="D267" s="106"/>
      <c r="E267" s="106"/>
      <c r="F267" s="106"/>
      <c r="G267" s="106"/>
      <c r="H267" s="106"/>
      <c r="I267" s="106"/>
      <c r="J267" s="106"/>
      <c r="K267" s="106"/>
      <c r="L267" s="106"/>
      <c r="CW267" s="77" t="s">
        <v>138</v>
      </c>
    </row>
    <row r="268" spans="1:101" x14ac:dyDescent="0.25">
      <c r="C268" s="48" t="str">
        <f>"Объем: "&amp;Source!I81&amp;"=2/"&amp;"100"</f>
        <v>Объем: 0,02=2/100</v>
      </c>
    </row>
    <row r="269" spans="1:101" ht="14.4" x14ac:dyDescent="0.25">
      <c r="A269" s="49"/>
      <c r="B269" s="45">
        <v>1</v>
      </c>
      <c r="C269" s="49" t="s">
        <v>52</v>
      </c>
      <c r="D269" s="44" t="s">
        <v>31</v>
      </c>
      <c r="E269" s="50"/>
      <c r="F269" s="45"/>
      <c r="G269" s="45">
        <f>Source!U81</f>
        <v>2.2309999999999999</v>
      </c>
      <c r="H269" s="45"/>
      <c r="I269" s="45"/>
      <c r="J269" s="45"/>
      <c r="K269" s="45"/>
      <c r="L269" s="51">
        <f>SUM(L270:L270)-SUMIF(CE270:CE270,1,L270:L270)</f>
        <v>1520.72</v>
      </c>
    </row>
    <row r="270" spans="1:101" ht="14.4" x14ac:dyDescent="0.25">
      <c r="A270" s="43"/>
      <c r="B270" s="43" t="s">
        <v>53</v>
      </c>
      <c r="C270" s="43" t="s">
        <v>54</v>
      </c>
      <c r="D270" s="44" t="s">
        <v>31</v>
      </c>
      <c r="E270" s="45">
        <v>97</v>
      </c>
      <c r="F270" s="45">
        <f>ROUND(1.15,7)</f>
        <v>1.1499999999999999</v>
      </c>
      <c r="G270" s="45">
        <f>SmtRes!CX66</f>
        <v>2.2309999999999999</v>
      </c>
      <c r="H270" s="46"/>
      <c r="I270" s="47"/>
      <c r="J270" s="46">
        <f>SmtRes!CZ66</f>
        <v>681.63</v>
      </c>
      <c r="K270" s="47"/>
      <c r="L270" s="46">
        <f>SmtRes!DI66</f>
        <v>1520.72</v>
      </c>
    </row>
    <row r="271" spans="1:101" ht="14.4" x14ac:dyDescent="0.25">
      <c r="A271" s="49"/>
      <c r="B271" s="45">
        <v>2</v>
      </c>
      <c r="C271" s="49" t="s">
        <v>55</v>
      </c>
      <c r="D271" s="44"/>
      <c r="E271" s="50"/>
      <c r="F271" s="45"/>
      <c r="G271" s="45"/>
      <c r="H271" s="45"/>
      <c r="I271" s="45"/>
      <c r="J271" s="45"/>
      <c r="K271" s="45"/>
      <c r="L271" s="51">
        <f>SUM(L272:L277)-SUMIF(CE272:CE277,1,L272:L277)</f>
        <v>10.829999999999998</v>
      </c>
    </row>
    <row r="272" spans="1:101" ht="14.4" x14ac:dyDescent="0.25">
      <c r="A272" s="49"/>
      <c r="B272" s="45"/>
      <c r="C272" s="49" t="s">
        <v>56</v>
      </c>
      <c r="D272" s="44" t="s">
        <v>31</v>
      </c>
      <c r="E272" s="50"/>
      <c r="F272" s="45"/>
      <c r="G272" s="45">
        <f>Source!V81</f>
        <v>9.4999999999999998E-3</v>
      </c>
      <c r="H272" s="45"/>
      <c r="I272" s="45"/>
      <c r="J272" s="45"/>
      <c r="K272" s="45"/>
      <c r="L272" s="51">
        <f>SUMIF(CE273:CE277,1,L273:L277)</f>
        <v>8.0400000000000009</v>
      </c>
      <c r="CE272">
        <v>1</v>
      </c>
    </row>
    <row r="273" spans="1:83" ht="27.6" x14ac:dyDescent="0.25">
      <c r="A273" s="43"/>
      <c r="B273" s="43" t="s">
        <v>208</v>
      </c>
      <c r="C273" s="43" t="s">
        <v>209</v>
      </c>
      <c r="D273" s="44" t="s">
        <v>59</v>
      </c>
      <c r="E273" s="45">
        <v>0.19</v>
      </c>
      <c r="F273" s="45">
        <f>ROUND(1.25,7)</f>
        <v>1.25</v>
      </c>
      <c r="G273" s="45">
        <f>SmtRes!CX68</f>
        <v>4.7499999999999999E-3</v>
      </c>
      <c r="H273" s="46"/>
      <c r="I273" s="47"/>
      <c r="J273" s="46">
        <f>SmtRes!CZ68</f>
        <v>1629.55</v>
      </c>
      <c r="K273" s="47"/>
      <c r="L273" s="46">
        <f>SmtRes!DG68</f>
        <v>7.74</v>
      </c>
    </row>
    <row r="274" spans="1:83" ht="14.4" x14ac:dyDescent="0.25">
      <c r="A274" s="43"/>
      <c r="B274" s="43" t="s">
        <v>210</v>
      </c>
      <c r="C274" s="43" t="s">
        <v>211</v>
      </c>
      <c r="D274" s="44" t="s">
        <v>31</v>
      </c>
      <c r="E274" s="45">
        <f>SmtRes!DO68*SmtRes!AT68</f>
        <v>0.19</v>
      </c>
      <c r="F274" s="45">
        <f>ROUND(1.25,7)</f>
        <v>1.25</v>
      </c>
      <c r="G274" s="45">
        <f>ROUND(E274*F274*G266,7)</f>
        <v>4.7499999999999999E-3</v>
      </c>
      <c r="H274" s="46"/>
      <c r="I274" s="47"/>
      <c r="J274" s="46">
        <f>ROUND(SmtRes!AG68/SmtRes!DO68,2)</f>
        <v>969.91</v>
      </c>
      <c r="K274" s="47"/>
      <c r="L274" s="46">
        <f>SmtRes!DH68</f>
        <v>4.6100000000000003</v>
      </c>
      <c r="CE274">
        <v>1</v>
      </c>
    </row>
    <row r="275" spans="1:83" ht="27.6" x14ac:dyDescent="0.25">
      <c r="A275" s="43"/>
      <c r="B275" s="43" t="s">
        <v>62</v>
      </c>
      <c r="C275" s="43" t="s">
        <v>63</v>
      </c>
      <c r="D275" s="44" t="s">
        <v>59</v>
      </c>
      <c r="E275" s="45">
        <v>0.19</v>
      </c>
      <c r="F275" s="45">
        <f>ROUND(1.25,7)</f>
        <v>1.25</v>
      </c>
      <c r="G275" s="45">
        <f>SmtRes!CX69</f>
        <v>4.7499999999999999E-3</v>
      </c>
      <c r="H275" s="46"/>
      <c r="I275" s="47"/>
      <c r="J275" s="46">
        <f>SmtRes!CZ69</f>
        <v>643.29</v>
      </c>
      <c r="K275" s="47"/>
      <c r="L275" s="46">
        <f>SmtRes!DG69</f>
        <v>3.06</v>
      </c>
    </row>
    <row r="276" spans="1:83" ht="14.4" x14ac:dyDescent="0.25">
      <c r="A276" s="43"/>
      <c r="B276" s="43" t="s">
        <v>64</v>
      </c>
      <c r="C276" s="43" t="s">
        <v>65</v>
      </c>
      <c r="D276" s="44" t="s">
        <v>31</v>
      </c>
      <c r="E276" s="45">
        <f>SmtRes!DO69*SmtRes!AT69</f>
        <v>0.19</v>
      </c>
      <c r="F276" s="45">
        <f>ROUND(1.25,7)</f>
        <v>1.25</v>
      </c>
      <c r="G276" s="45">
        <f>ROUND(E276*F276*G266,7)</f>
        <v>4.7499999999999999E-3</v>
      </c>
      <c r="H276" s="46"/>
      <c r="I276" s="47"/>
      <c r="J276" s="46">
        <f>ROUND(SmtRes!AG69/SmtRes!DO69,2)</f>
        <v>722.05</v>
      </c>
      <c r="K276" s="47"/>
      <c r="L276" s="46">
        <f>SmtRes!DH69</f>
        <v>3.43</v>
      </c>
      <c r="CE276">
        <v>1</v>
      </c>
    </row>
    <row r="277" spans="1:83" ht="14.4" x14ac:dyDescent="0.25">
      <c r="A277" s="43"/>
      <c r="B277" s="43" t="s">
        <v>212</v>
      </c>
      <c r="C277" s="43" t="s">
        <v>213</v>
      </c>
      <c r="D277" s="44" t="s">
        <v>59</v>
      </c>
      <c r="E277" s="45">
        <v>0.32</v>
      </c>
      <c r="F277" s="45">
        <f>ROUND(1.25,7)</f>
        <v>1.25</v>
      </c>
      <c r="G277" s="45">
        <f>SmtRes!CX70</f>
        <v>8.0000000000000002E-3</v>
      </c>
      <c r="H277" s="46">
        <f>SmtRes!CZ70</f>
        <v>2.36</v>
      </c>
      <c r="I277" s="47">
        <f>SmtRes!AJ70</f>
        <v>1.33</v>
      </c>
      <c r="J277" s="46">
        <f>ROUND(H277*I277,2)</f>
        <v>3.14</v>
      </c>
      <c r="K277" s="47"/>
      <c r="L277" s="46">
        <f>SmtRes!DG70</f>
        <v>0.03</v>
      </c>
    </row>
    <row r="278" spans="1:83" ht="14.4" x14ac:dyDescent="0.25">
      <c r="A278" s="49"/>
      <c r="B278" s="45">
        <v>4</v>
      </c>
      <c r="C278" s="49" t="s">
        <v>66</v>
      </c>
      <c r="D278" s="44"/>
      <c r="E278" s="50"/>
      <c r="F278" s="45"/>
      <c r="G278" s="45"/>
      <c r="H278" s="45"/>
      <c r="I278" s="45"/>
      <c r="J278" s="45"/>
      <c r="K278" s="45"/>
      <c r="L278" s="51">
        <f>SUM(L279:L295)-SUMIF(CE279:CE295,1,L279:L295)</f>
        <v>829.7299999999999</v>
      </c>
    </row>
    <row r="279" spans="1:83" ht="14.4" x14ac:dyDescent="0.25">
      <c r="A279" s="43"/>
      <c r="B279" s="43" t="s">
        <v>214</v>
      </c>
      <c r="C279" s="43" t="s">
        <v>215</v>
      </c>
      <c r="D279" s="44" t="s">
        <v>104</v>
      </c>
      <c r="E279" s="45">
        <v>3.5999999999999997E-2</v>
      </c>
      <c r="F279" s="45"/>
      <c r="G279" s="45">
        <f>SmtRes!CX72</f>
        <v>7.2000000000000005E-4</v>
      </c>
      <c r="H279" s="46">
        <f>SmtRes!CZ72</f>
        <v>35.71</v>
      </c>
      <c r="I279" s="47">
        <f>SmtRes!AI72</f>
        <v>1.53</v>
      </c>
      <c r="J279" s="46">
        <f>ROUND(H279*I279,2)</f>
        <v>54.64</v>
      </c>
      <c r="K279" s="47"/>
      <c r="L279" s="46">
        <f>SmtRes!DF72</f>
        <v>0.04</v>
      </c>
    </row>
    <row r="280" spans="1:83" ht="14.4" x14ac:dyDescent="0.25">
      <c r="A280" s="43"/>
      <c r="B280" s="43" t="s">
        <v>216</v>
      </c>
      <c r="C280" s="43" t="s">
        <v>217</v>
      </c>
      <c r="D280" s="44" t="s">
        <v>218</v>
      </c>
      <c r="E280" s="45">
        <v>2.2320000000000002</v>
      </c>
      <c r="F280" s="45"/>
      <c r="G280" s="45">
        <f>SmtRes!CX73</f>
        <v>4.4639999999999999E-2</v>
      </c>
      <c r="H280" s="46"/>
      <c r="I280" s="47"/>
      <c r="J280" s="46">
        <f>SmtRes!CZ73</f>
        <v>6.78</v>
      </c>
      <c r="K280" s="47"/>
      <c r="L280" s="46">
        <f>SmtRes!DF73</f>
        <v>0.3</v>
      </c>
    </row>
    <row r="281" spans="1:83" ht="27.6" x14ac:dyDescent="0.25">
      <c r="A281" s="43"/>
      <c r="B281" s="43" t="s">
        <v>219</v>
      </c>
      <c r="C281" s="43" t="s">
        <v>220</v>
      </c>
      <c r="D281" s="44" t="s">
        <v>69</v>
      </c>
      <c r="E281" s="45">
        <v>135</v>
      </c>
      <c r="F281" s="45"/>
      <c r="G281" s="45">
        <f>SmtRes!CX74</f>
        <v>2.7</v>
      </c>
      <c r="H281" s="46">
        <f>SmtRes!CZ74</f>
        <v>3.62</v>
      </c>
      <c r="I281" s="47">
        <f>SmtRes!AI74</f>
        <v>1.53</v>
      </c>
      <c r="J281" s="46">
        <f t="shared" ref="J281:J294" si="1">ROUND(H281*I281,2)</f>
        <v>5.54</v>
      </c>
      <c r="K281" s="47"/>
      <c r="L281" s="46">
        <f>SmtRes!DF74</f>
        <v>14.96</v>
      </c>
    </row>
    <row r="282" spans="1:83" ht="41.4" x14ac:dyDescent="0.25">
      <c r="A282" s="43"/>
      <c r="B282" s="43" t="s">
        <v>221</v>
      </c>
      <c r="C282" s="43" t="s">
        <v>222</v>
      </c>
      <c r="D282" s="44" t="s">
        <v>69</v>
      </c>
      <c r="E282" s="45">
        <v>68</v>
      </c>
      <c r="F282" s="45"/>
      <c r="G282" s="45">
        <f>SmtRes!CX75</f>
        <v>1.36</v>
      </c>
      <c r="H282" s="46">
        <f>SmtRes!CZ75</f>
        <v>2.6</v>
      </c>
      <c r="I282" s="47">
        <f>SmtRes!AI75</f>
        <v>0.88</v>
      </c>
      <c r="J282" s="46">
        <f t="shared" si="1"/>
        <v>2.29</v>
      </c>
      <c r="K282" s="47"/>
      <c r="L282" s="46">
        <f>SmtRes!DF75</f>
        <v>3.11</v>
      </c>
    </row>
    <row r="283" spans="1:83" ht="96.6" x14ac:dyDescent="0.25">
      <c r="A283" s="43"/>
      <c r="B283" s="43" t="s">
        <v>223</v>
      </c>
      <c r="C283" s="43" t="s">
        <v>224</v>
      </c>
      <c r="D283" s="44" t="s">
        <v>225</v>
      </c>
      <c r="E283" s="45">
        <v>1.35</v>
      </c>
      <c r="F283" s="45"/>
      <c r="G283" s="45">
        <f>SmtRes!CX76</f>
        <v>2.7E-2</v>
      </c>
      <c r="H283" s="46">
        <f>SmtRes!CZ76</f>
        <v>1955.23</v>
      </c>
      <c r="I283" s="47">
        <f>SmtRes!AI76</f>
        <v>1.53</v>
      </c>
      <c r="J283" s="46">
        <f t="shared" si="1"/>
        <v>2991.5</v>
      </c>
      <c r="K283" s="47"/>
      <c r="L283" s="46">
        <f>SmtRes!DF76</f>
        <v>80.77</v>
      </c>
    </row>
    <row r="284" spans="1:83" ht="41.4" x14ac:dyDescent="0.25">
      <c r="A284" s="43"/>
      <c r="B284" s="43" t="s">
        <v>226</v>
      </c>
      <c r="C284" s="43" t="s">
        <v>227</v>
      </c>
      <c r="D284" s="44" t="s">
        <v>228</v>
      </c>
      <c r="E284" s="45">
        <v>0.81</v>
      </c>
      <c r="F284" s="45"/>
      <c r="G284" s="45">
        <f>SmtRes!CX77</f>
        <v>1.6199999999999999E-2</v>
      </c>
      <c r="H284" s="46">
        <f>SmtRes!CZ77</f>
        <v>178.64</v>
      </c>
      <c r="I284" s="47">
        <f>SmtRes!AI77</f>
        <v>1.29</v>
      </c>
      <c r="J284" s="46">
        <f t="shared" si="1"/>
        <v>230.45</v>
      </c>
      <c r="K284" s="47"/>
      <c r="L284" s="46">
        <f>SmtRes!DF77</f>
        <v>3.73</v>
      </c>
    </row>
    <row r="285" spans="1:83" ht="41.4" x14ac:dyDescent="0.25">
      <c r="A285" s="43"/>
      <c r="B285" s="43" t="s">
        <v>229</v>
      </c>
      <c r="C285" s="43" t="s">
        <v>230</v>
      </c>
      <c r="D285" s="44" t="s">
        <v>228</v>
      </c>
      <c r="E285" s="45">
        <v>3.22</v>
      </c>
      <c r="F285" s="45"/>
      <c r="G285" s="45">
        <f>SmtRes!CX78</f>
        <v>6.4399999999999999E-2</v>
      </c>
      <c r="H285" s="46">
        <f>SmtRes!CZ78</f>
        <v>52.34</v>
      </c>
      <c r="I285" s="47">
        <f>SmtRes!AI78</f>
        <v>1.24</v>
      </c>
      <c r="J285" s="46">
        <f t="shared" si="1"/>
        <v>64.900000000000006</v>
      </c>
      <c r="K285" s="47"/>
      <c r="L285" s="46">
        <f>SmtRes!DF78</f>
        <v>4.18</v>
      </c>
    </row>
    <row r="286" spans="1:83" ht="69" x14ac:dyDescent="0.25">
      <c r="A286" s="43"/>
      <c r="B286" s="43" t="s">
        <v>231</v>
      </c>
      <c r="C286" s="43" t="s">
        <v>232</v>
      </c>
      <c r="D286" s="44" t="s">
        <v>228</v>
      </c>
      <c r="E286" s="45">
        <v>3.68</v>
      </c>
      <c r="F286" s="45"/>
      <c r="G286" s="45">
        <f>SmtRes!CX79</f>
        <v>7.3599999999999999E-2</v>
      </c>
      <c r="H286" s="46">
        <f>SmtRes!CZ79</f>
        <v>22.93</v>
      </c>
      <c r="I286" s="47">
        <f>SmtRes!AI79</f>
        <v>1.29</v>
      </c>
      <c r="J286" s="46">
        <f t="shared" si="1"/>
        <v>29.58</v>
      </c>
      <c r="K286" s="47"/>
      <c r="L286" s="46">
        <f>SmtRes!DF79</f>
        <v>2.1800000000000002</v>
      </c>
    </row>
    <row r="287" spans="1:83" ht="69" x14ac:dyDescent="0.25">
      <c r="A287" s="43"/>
      <c r="B287" s="43" t="s">
        <v>233</v>
      </c>
      <c r="C287" s="43" t="s">
        <v>234</v>
      </c>
      <c r="D287" s="44" t="s">
        <v>228</v>
      </c>
      <c r="E287" s="45">
        <v>22.21</v>
      </c>
      <c r="F287" s="45"/>
      <c r="G287" s="45">
        <f>SmtRes!CX80</f>
        <v>0.44419999999999998</v>
      </c>
      <c r="H287" s="46">
        <f>SmtRes!CZ80</f>
        <v>22.84</v>
      </c>
      <c r="I287" s="47">
        <f>SmtRes!AI80</f>
        <v>1.29</v>
      </c>
      <c r="J287" s="46">
        <f t="shared" si="1"/>
        <v>29.46</v>
      </c>
      <c r="K287" s="47"/>
      <c r="L287" s="46">
        <f>SmtRes!DF80</f>
        <v>13.09</v>
      </c>
    </row>
    <row r="288" spans="1:83" ht="69" x14ac:dyDescent="0.25">
      <c r="A288" s="43"/>
      <c r="B288" s="43" t="s">
        <v>235</v>
      </c>
      <c r="C288" s="43" t="s">
        <v>236</v>
      </c>
      <c r="D288" s="44" t="s">
        <v>69</v>
      </c>
      <c r="E288" s="45">
        <v>136</v>
      </c>
      <c r="F288" s="45"/>
      <c r="G288" s="45">
        <f>SmtRes!CX81</f>
        <v>2.72</v>
      </c>
      <c r="H288" s="46">
        <f>SmtRes!CZ81</f>
        <v>44.16</v>
      </c>
      <c r="I288" s="47">
        <f>SmtRes!AI81</f>
        <v>0.88</v>
      </c>
      <c r="J288" s="46">
        <f t="shared" si="1"/>
        <v>38.86</v>
      </c>
      <c r="K288" s="47"/>
      <c r="L288" s="46">
        <f>SmtRes!DF81</f>
        <v>105.7</v>
      </c>
    </row>
    <row r="289" spans="1:82" ht="41.4" x14ac:dyDescent="0.25">
      <c r="A289" s="43"/>
      <c r="B289" s="43" t="s">
        <v>237</v>
      </c>
      <c r="C289" s="43" t="s">
        <v>238</v>
      </c>
      <c r="D289" s="44" t="s">
        <v>69</v>
      </c>
      <c r="E289" s="45">
        <v>306</v>
      </c>
      <c r="F289" s="45"/>
      <c r="G289" s="45">
        <f>SmtRes!CX82</f>
        <v>6.12</v>
      </c>
      <c r="H289" s="46">
        <f>SmtRes!CZ82</f>
        <v>64.44</v>
      </c>
      <c r="I289" s="47">
        <f>SmtRes!AI82</f>
        <v>0.88</v>
      </c>
      <c r="J289" s="46">
        <f t="shared" si="1"/>
        <v>56.71</v>
      </c>
      <c r="K289" s="47"/>
      <c r="L289" s="46">
        <f>SmtRes!DF82</f>
        <v>347.07</v>
      </c>
    </row>
    <row r="290" spans="1:82" ht="41.4" x14ac:dyDescent="0.25">
      <c r="A290" s="43"/>
      <c r="B290" s="43" t="s">
        <v>239</v>
      </c>
      <c r="C290" s="43" t="s">
        <v>240</v>
      </c>
      <c r="D290" s="44" t="s">
        <v>228</v>
      </c>
      <c r="E290" s="45">
        <v>0.81</v>
      </c>
      <c r="F290" s="45"/>
      <c r="G290" s="45">
        <f>SmtRes!CX83</f>
        <v>1.6199999999999999E-2</v>
      </c>
      <c r="H290" s="46">
        <f>SmtRes!CZ83</f>
        <v>2384.14</v>
      </c>
      <c r="I290" s="47">
        <f>SmtRes!AI83</f>
        <v>1.5</v>
      </c>
      <c r="J290" s="46">
        <f t="shared" si="1"/>
        <v>3576.21</v>
      </c>
      <c r="K290" s="47"/>
      <c r="L290" s="46">
        <f>SmtRes!DF83</f>
        <v>57.93</v>
      </c>
    </row>
    <row r="291" spans="1:82" ht="55.2" x14ac:dyDescent="0.25">
      <c r="A291" s="43"/>
      <c r="B291" s="43" t="s">
        <v>241</v>
      </c>
      <c r="C291" s="43" t="s">
        <v>242</v>
      </c>
      <c r="D291" s="44" t="s">
        <v>228</v>
      </c>
      <c r="E291" s="45">
        <v>0.81</v>
      </c>
      <c r="F291" s="45"/>
      <c r="G291" s="45">
        <f>SmtRes!CX85</f>
        <v>1.6199999999999999E-2</v>
      </c>
      <c r="H291" s="46">
        <f>SmtRes!CZ85</f>
        <v>1701.99</v>
      </c>
      <c r="I291" s="47">
        <f>SmtRes!AI85</f>
        <v>1.5</v>
      </c>
      <c r="J291" s="46">
        <f t="shared" si="1"/>
        <v>2552.9899999999998</v>
      </c>
      <c r="K291" s="47"/>
      <c r="L291" s="46">
        <f>SmtRes!DF85</f>
        <v>41.36</v>
      </c>
    </row>
    <row r="292" spans="1:82" ht="55.2" x14ac:dyDescent="0.25">
      <c r="A292" s="43"/>
      <c r="B292" s="43" t="s">
        <v>243</v>
      </c>
      <c r="C292" s="43" t="s">
        <v>244</v>
      </c>
      <c r="D292" s="44" t="s">
        <v>228</v>
      </c>
      <c r="E292" s="45">
        <v>1.83</v>
      </c>
      <c r="F292" s="45"/>
      <c r="G292" s="45">
        <f>SmtRes!CX86</f>
        <v>3.6600000000000001E-2</v>
      </c>
      <c r="H292" s="46">
        <f>SmtRes!CZ86</f>
        <v>2013.47</v>
      </c>
      <c r="I292" s="47">
        <f>SmtRes!AI86</f>
        <v>1.5</v>
      </c>
      <c r="J292" s="46">
        <f t="shared" si="1"/>
        <v>3020.21</v>
      </c>
      <c r="K292" s="47"/>
      <c r="L292" s="46">
        <f>SmtRes!DF86</f>
        <v>110.54</v>
      </c>
    </row>
    <row r="293" spans="1:82" ht="41.4" x14ac:dyDescent="0.25">
      <c r="A293" s="43"/>
      <c r="B293" s="43" t="s">
        <v>245</v>
      </c>
      <c r="C293" s="43" t="s">
        <v>246</v>
      </c>
      <c r="D293" s="44" t="s">
        <v>111</v>
      </c>
      <c r="E293" s="45">
        <v>10</v>
      </c>
      <c r="F293" s="45"/>
      <c r="G293" s="45">
        <f>SmtRes!CX87</f>
        <v>0.2</v>
      </c>
      <c r="H293" s="46">
        <f>SmtRes!CZ87</f>
        <v>68.290000000000006</v>
      </c>
      <c r="I293" s="47">
        <f>SmtRes!AI87</f>
        <v>1.54</v>
      </c>
      <c r="J293" s="46">
        <f t="shared" si="1"/>
        <v>105.17</v>
      </c>
      <c r="K293" s="47"/>
      <c r="L293" s="46">
        <f>SmtRes!DF87</f>
        <v>21.03</v>
      </c>
    </row>
    <row r="294" spans="1:82" ht="69" x14ac:dyDescent="0.25">
      <c r="A294" s="43"/>
      <c r="B294" s="43" t="s">
        <v>247</v>
      </c>
      <c r="C294" s="43" t="s">
        <v>248</v>
      </c>
      <c r="D294" s="44" t="s">
        <v>111</v>
      </c>
      <c r="E294" s="45">
        <v>4</v>
      </c>
      <c r="F294" s="45"/>
      <c r="G294" s="45">
        <f>SmtRes!CX88</f>
        <v>0.08</v>
      </c>
      <c r="H294" s="46">
        <f>SmtRes!CZ88</f>
        <v>66.77</v>
      </c>
      <c r="I294" s="47">
        <f>SmtRes!AI88</f>
        <v>1.33</v>
      </c>
      <c r="J294" s="46">
        <f t="shared" si="1"/>
        <v>88.8</v>
      </c>
      <c r="K294" s="47"/>
      <c r="L294" s="46">
        <f>SmtRes!DF88</f>
        <v>7.1</v>
      </c>
    </row>
    <row r="295" spans="1:82" ht="69" x14ac:dyDescent="0.25">
      <c r="A295" s="43"/>
      <c r="B295" s="43" t="s">
        <v>249</v>
      </c>
      <c r="C295" s="43" t="s">
        <v>250</v>
      </c>
      <c r="D295" s="44" t="s">
        <v>111</v>
      </c>
      <c r="E295" s="45">
        <v>42</v>
      </c>
      <c r="F295" s="45"/>
      <c r="G295" s="45">
        <f>SmtRes!CX89</f>
        <v>0.84</v>
      </c>
      <c r="H295" s="46"/>
      <c r="I295" s="47"/>
      <c r="J295" s="46">
        <f>SmtRes!CZ89</f>
        <v>19.809999999999999</v>
      </c>
      <c r="K295" s="47"/>
      <c r="L295" s="46">
        <f>SmtRes!DF89</f>
        <v>16.64</v>
      </c>
    </row>
    <row r="296" spans="1:82" ht="14.4" x14ac:dyDescent="0.25">
      <c r="A296" s="43"/>
      <c r="B296" s="43" t="str">
        <f>EtalonRes!I72</f>
        <v>01.6.01.02</v>
      </c>
      <c r="C296" s="43" t="str">
        <f>EtalonRes!K72</f>
        <v>Листы гипсокартонные</v>
      </c>
      <c r="D296" s="44" t="str">
        <f>EtalonRes!O72</f>
        <v>м2</v>
      </c>
      <c r="E296" s="45">
        <f>EtalonRes!X72</f>
        <v>111</v>
      </c>
      <c r="F296" s="45"/>
      <c r="G296" s="45">
        <f>ROUND(EtalonRes!AG72*Source!I81,7)</f>
        <v>2.2200000000000002</v>
      </c>
      <c r="H296" s="46"/>
      <c r="I296" s="47"/>
      <c r="J296" s="46"/>
      <c r="K296" s="47"/>
      <c r="L296" s="46"/>
    </row>
    <row r="297" spans="1:82" ht="14.4" x14ac:dyDescent="0.25">
      <c r="A297" s="43"/>
      <c r="B297" s="43" t="str">
        <f>EtalonRes!I84</f>
        <v>07.2.06.04</v>
      </c>
      <c r="C297" s="52" t="str">
        <f>EtalonRes!K84</f>
        <v>Тяга подвесов</v>
      </c>
      <c r="D297" s="53" t="str">
        <f>EtalonRes!O84</f>
        <v>ШТ</v>
      </c>
      <c r="E297" s="54">
        <f>EtalonRes!X84</f>
        <v>81</v>
      </c>
      <c r="F297" s="54"/>
      <c r="G297" s="54">
        <f>ROUND(EtalonRes!AG84*Source!I81,7)</f>
        <v>1.62</v>
      </c>
      <c r="H297" s="55"/>
      <c r="I297" s="56"/>
      <c r="J297" s="55"/>
      <c r="K297" s="56"/>
      <c r="L297" s="55"/>
    </row>
    <row r="298" spans="1:82" ht="14.4" x14ac:dyDescent="0.25">
      <c r="A298" s="43"/>
      <c r="B298" s="43"/>
      <c r="C298" s="57" t="s">
        <v>70</v>
      </c>
      <c r="D298" s="44"/>
      <c r="E298" s="45"/>
      <c r="F298" s="45"/>
      <c r="G298" s="45"/>
      <c r="H298" s="46"/>
      <c r="I298" s="47"/>
      <c r="J298" s="46"/>
      <c r="K298" s="47"/>
      <c r="L298" s="46">
        <f>L269+L271+L272+L278</f>
        <v>2369.3199999999997</v>
      </c>
    </row>
    <row r="299" spans="1:82" ht="27.6" x14ac:dyDescent="0.25">
      <c r="A299" s="75" t="s">
        <v>251</v>
      </c>
      <c r="B299" s="43" t="str">
        <f>Source!F82</f>
        <v>01.6.01.02-0008</v>
      </c>
      <c r="C299" s="43" t="str">
        <f>Source!G82</f>
        <v>Листы гипсокартонные влагостойкие ГКЛВ, толщина 12,5 мм</v>
      </c>
      <c r="D299" s="44" t="str">
        <f>Source!H82</f>
        <v>м2</v>
      </c>
      <c r="E299" s="45">
        <f>SmtRes!AT71</f>
        <v>111</v>
      </c>
      <c r="F299" s="45"/>
      <c r="G299" s="45">
        <f>Source!I82</f>
        <v>2.2200000000000002</v>
      </c>
      <c r="H299" s="46">
        <f>Source!AL82+Source!AO82+Source!AM82+Source!AN82</f>
        <v>108.98</v>
      </c>
      <c r="I299" s="47">
        <f>IF(Source!BC82&lt;&gt;0,Source!BC82,1)</f>
        <v>1.41</v>
      </c>
      <c r="J299" s="46">
        <f>ROUND(H299*I299,2)</f>
        <v>153.66</v>
      </c>
      <c r="K299" s="47"/>
      <c r="L299" s="46">
        <f>Source!P82</f>
        <v>341.13</v>
      </c>
      <c r="AD299">
        <f>ROUND((Source!AT82/100)*((ROUND(ROUND(Source!AO82,2)*Source!I82,2)+ROUND(ROUND(Source!AN82,2)*Source!I82,2))),2)</f>
        <v>0</v>
      </c>
      <c r="AE299">
        <f>ROUND((Source!AU82/100)*((ROUND(ROUND(Source!AO82,2)*Source!I82,2)+ROUND(ROUND(Source!AN82,2)*Source!I82,2))),2)</f>
        <v>0</v>
      </c>
      <c r="AN299">
        <f>L299</f>
        <v>341.13</v>
      </c>
      <c r="AW299">
        <f>L299</f>
        <v>341.13</v>
      </c>
      <c r="AZ299">
        <f>Source!X82</f>
        <v>0</v>
      </c>
      <c r="BA299">
        <f>Source!Y82</f>
        <v>0</v>
      </c>
      <c r="CD299">
        <v>1</v>
      </c>
    </row>
    <row r="300" spans="1:82" ht="41.4" x14ac:dyDescent="0.25">
      <c r="A300" s="75" t="s">
        <v>252</v>
      </c>
      <c r="B300" s="43" t="str">
        <f>Source!F83</f>
        <v>07.2.06.04-0114</v>
      </c>
      <c r="C300" s="43" t="str">
        <f>Source!G83</f>
        <v>Тяги подвеса стальные оцинкованные для монтажа подвесных потолков, диаметр 4 мм, длина 750 мм</v>
      </c>
      <c r="D300" s="44" t="str">
        <f>Source!H83</f>
        <v>100 ШТ</v>
      </c>
      <c r="E300" s="45">
        <f>SmtRes!AT84</f>
        <v>81</v>
      </c>
      <c r="F300" s="45"/>
      <c r="G300" s="45">
        <f>Source!I83</f>
        <v>1.62</v>
      </c>
      <c r="H300" s="46">
        <f>Source!AL83+Source!AO83+Source!AM83+Source!AN83</f>
        <v>1362.55</v>
      </c>
      <c r="I300" s="47">
        <f>IF(Source!BC83&lt;&gt;0,Source!BC83,1)</f>
        <v>1.5</v>
      </c>
      <c r="J300" s="46">
        <f>ROUND(H300*I300,2)</f>
        <v>2043.83</v>
      </c>
      <c r="K300" s="47"/>
      <c r="L300" s="46">
        <f>Source!P83</f>
        <v>3311</v>
      </c>
      <c r="AD300">
        <f>ROUND((Source!AT83/100)*((ROUND(ROUND(Source!AO83,2)*Source!I83,2)+ROUND(ROUND(Source!AN83,2)*Source!I83,2))),2)</f>
        <v>0</v>
      </c>
      <c r="AE300">
        <f>ROUND((Source!AU83/100)*((ROUND(ROUND(Source!AO83,2)*Source!I83,2)+ROUND(ROUND(Source!AN83,2)*Source!I83,2))),2)</f>
        <v>0</v>
      </c>
      <c r="AN300">
        <f>L300</f>
        <v>3311</v>
      </c>
      <c r="AW300">
        <f>L300</f>
        <v>3311</v>
      </c>
      <c r="AZ300">
        <f>Source!X83</f>
        <v>0</v>
      </c>
      <c r="BA300">
        <f>Source!Y83</f>
        <v>0</v>
      </c>
      <c r="CD300">
        <v>1</v>
      </c>
    </row>
    <row r="301" spans="1:82" ht="14.4" x14ac:dyDescent="0.25">
      <c r="A301" s="43"/>
      <c r="B301" s="43"/>
      <c r="C301" s="43" t="s">
        <v>71</v>
      </c>
      <c r="D301" s="44"/>
      <c r="E301" s="45"/>
      <c r="F301" s="45"/>
      <c r="G301" s="45"/>
      <c r="H301" s="46"/>
      <c r="I301" s="47"/>
      <c r="J301" s="46"/>
      <c r="K301" s="47"/>
      <c r="L301" s="46">
        <f>SUM(AR266:AR304)+SUM(AS266:AS304)+SUM(AT266:AT304)+SUM(AU266:AU304)+SUM(AV266:AV304)</f>
        <v>1528.76</v>
      </c>
    </row>
    <row r="302" spans="1:82" ht="27.6" x14ac:dyDescent="0.25">
      <c r="A302" s="43"/>
      <c r="B302" s="43" t="s">
        <v>253</v>
      </c>
      <c r="C302" s="43" t="s">
        <v>254</v>
      </c>
      <c r="D302" s="44" t="s">
        <v>74</v>
      </c>
      <c r="E302" s="45">
        <f>Source!BZ81</f>
        <v>108</v>
      </c>
      <c r="F302" s="45">
        <f>ROUND(0.9,7)</f>
        <v>0.9</v>
      </c>
      <c r="G302" s="45">
        <f>Source!AT81</f>
        <v>97.2</v>
      </c>
      <c r="H302" s="46"/>
      <c r="I302" s="47"/>
      <c r="J302" s="46"/>
      <c r="K302" s="47"/>
      <c r="L302" s="46">
        <f>SUM(AZ266:AZ304)</f>
        <v>1485.95</v>
      </c>
    </row>
    <row r="303" spans="1:82" ht="27.6" x14ac:dyDescent="0.25">
      <c r="A303" s="52"/>
      <c r="B303" s="52" t="s">
        <v>255</v>
      </c>
      <c r="C303" s="52" t="s">
        <v>256</v>
      </c>
      <c r="D303" s="53" t="s">
        <v>74</v>
      </c>
      <c r="E303" s="54">
        <f>Source!CA81</f>
        <v>55</v>
      </c>
      <c r="F303" s="54">
        <f>ROUND(0.85,7)</f>
        <v>0.85</v>
      </c>
      <c r="G303" s="54">
        <f>Source!AU81</f>
        <v>46.75</v>
      </c>
      <c r="H303" s="55"/>
      <c r="I303" s="56"/>
      <c r="J303" s="55"/>
      <c r="K303" s="56"/>
      <c r="L303" s="55">
        <f>SUM(BA266:BA304)</f>
        <v>714.7</v>
      </c>
    </row>
    <row r="304" spans="1:82" ht="13.8" x14ac:dyDescent="0.25">
      <c r="C304" s="103" t="s">
        <v>77</v>
      </c>
      <c r="D304" s="103"/>
      <c r="E304" s="103"/>
      <c r="F304" s="103"/>
      <c r="G304" s="103"/>
      <c r="H304" s="103"/>
      <c r="I304" s="104">
        <f>IF(E266&lt;&gt;0,K304/E266,0)</f>
        <v>411104.99999999994</v>
      </c>
      <c r="J304" s="104"/>
      <c r="K304" s="104">
        <f>L269+L271+L278+L302+L303+L272+SUM(L299:L300)</f>
        <v>8222.0999999999985</v>
      </c>
      <c r="L304" s="104"/>
      <c r="AD304">
        <f>ROUND((Source!AT81/100)*((ROUND(SUMIF(SmtRes!AQ66:'SmtRes'!AQ89,"=1",SmtRes!AD66:'SmtRes'!AD89)*Source!I81,2)+ROUND(SUMIF(SmtRes!AQ66:'SmtRes'!AQ89,"=1",SmtRes!AC66:'SmtRes'!AC89)*Source!I81,2))),2)</f>
        <v>46.14</v>
      </c>
      <c r="AE304">
        <f>ROUND((Source!AU81/100)*((ROUND(SUMIF(SmtRes!AQ66:'SmtRes'!AQ89,"=1",SmtRes!AD66:'SmtRes'!AD89)*Source!I81,2)+ROUND(SUMIF(SmtRes!AQ66:'SmtRes'!AQ89,"=1",SmtRes!AC66:'SmtRes'!AC89)*Source!I81,2))),2)</f>
        <v>22.19</v>
      </c>
      <c r="AN304" s="59">
        <f>L269+L271+L278+L302+L303+L272</f>
        <v>4569.9699999999993</v>
      </c>
      <c r="AO304" s="59">
        <f>L271</f>
        <v>10.829999999999998</v>
      </c>
      <c r="AQ304" t="s">
        <v>78</v>
      </c>
      <c r="AR304" s="59">
        <f>L269</f>
        <v>1520.72</v>
      </c>
      <c r="AT304" s="59">
        <f>L272</f>
        <v>8.0400000000000009</v>
      </c>
      <c r="AV304" t="s">
        <v>78</v>
      </c>
      <c r="AW304" s="59">
        <f>L278</f>
        <v>829.7299999999999</v>
      </c>
      <c r="AZ304">
        <f>Source!X81</f>
        <v>1485.95</v>
      </c>
      <c r="BA304">
        <f>Source!Y81</f>
        <v>714.7</v>
      </c>
      <c r="CD304">
        <v>1</v>
      </c>
    </row>
    <row r="305" spans="1:101" ht="55.2" x14ac:dyDescent="0.25">
      <c r="A305" s="75" t="s">
        <v>257</v>
      </c>
      <c r="B305" s="43" t="s">
        <v>258</v>
      </c>
      <c r="C305" s="43" t="str">
        <f>Source!G84</f>
        <v>Отделка поверхностей из сборных элементов и плит под окраску или оклейку обоями: потолков сборных из плит</v>
      </c>
      <c r="D305" s="44" t="str">
        <f>Source!H84</f>
        <v>100 м2</v>
      </c>
      <c r="E305" s="45">
        <f>Source!K84</f>
        <v>0.02</v>
      </c>
      <c r="F305" s="45"/>
      <c r="G305" s="45">
        <f>Source!I84</f>
        <v>0.02</v>
      </c>
      <c r="H305" s="46"/>
      <c r="I305" s="47"/>
      <c r="J305" s="46"/>
      <c r="K305" s="47"/>
      <c r="L305" s="46"/>
    </row>
    <row r="306" spans="1:101" ht="52.8" x14ac:dyDescent="0.25">
      <c r="B306" s="60" t="s">
        <v>137</v>
      </c>
      <c r="C306" s="106" t="s">
        <v>138</v>
      </c>
      <c r="D306" s="106"/>
      <c r="E306" s="106"/>
      <c r="F306" s="106"/>
      <c r="G306" s="106"/>
      <c r="H306" s="106"/>
      <c r="I306" s="106"/>
      <c r="J306" s="106"/>
      <c r="K306" s="106"/>
      <c r="L306" s="106"/>
      <c r="CW306" s="77" t="s">
        <v>138</v>
      </c>
    </row>
    <row r="307" spans="1:101" x14ac:dyDescent="0.25">
      <c r="C307" s="48" t="str">
        <f>"Объем: "&amp;Source!I84&amp;"=2/"&amp;"100"</f>
        <v>Объем: 0,02=2/100</v>
      </c>
    </row>
    <row r="308" spans="1:101" ht="14.4" x14ac:dyDescent="0.25">
      <c r="A308" s="49"/>
      <c r="B308" s="45">
        <v>1</v>
      </c>
      <c r="C308" s="49" t="s">
        <v>52</v>
      </c>
      <c r="D308" s="44" t="s">
        <v>31</v>
      </c>
      <c r="E308" s="50"/>
      <c r="F308" s="45"/>
      <c r="G308" s="45">
        <f>Source!U84</f>
        <v>0.68540000000000001</v>
      </c>
      <c r="H308" s="45"/>
      <c r="I308" s="45"/>
      <c r="J308" s="45"/>
      <c r="K308" s="45"/>
      <c r="L308" s="51">
        <f>SUM(L309:L309)-SUMIF(CE309:CE309,1,L309:L309)</f>
        <v>467.19</v>
      </c>
    </row>
    <row r="309" spans="1:101" ht="14.4" x14ac:dyDescent="0.25">
      <c r="A309" s="43"/>
      <c r="B309" s="43" t="s">
        <v>53</v>
      </c>
      <c r="C309" s="43" t="s">
        <v>54</v>
      </c>
      <c r="D309" s="44" t="s">
        <v>31</v>
      </c>
      <c r="E309" s="45">
        <v>29.8</v>
      </c>
      <c r="F309" s="45">
        <f>ROUND(1.15,7)</f>
        <v>1.1499999999999999</v>
      </c>
      <c r="G309" s="45">
        <f>SmtRes!CX90</f>
        <v>0.68540000000000001</v>
      </c>
      <c r="H309" s="46"/>
      <c r="I309" s="47"/>
      <c r="J309" s="46">
        <f>SmtRes!CZ90</f>
        <v>681.63</v>
      </c>
      <c r="K309" s="47"/>
      <c r="L309" s="46">
        <f>SmtRes!DI90</f>
        <v>467.19</v>
      </c>
    </row>
    <row r="310" spans="1:101" ht="14.4" x14ac:dyDescent="0.25">
      <c r="A310" s="49"/>
      <c r="B310" s="45">
        <v>2</v>
      </c>
      <c r="C310" s="49" t="s">
        <v>55</v>
      </c>
      <c r="D310" s="44"/>
      <c r="E310" s="50"/>
      <c r="F310" s="45"/>
      <c r="G310" s="45"/>
      <c r="H310" s="45"/>
      <c r="I310" s="45"/>
      <c r="J310" s="45"/>
      <c r="K310" s="45"/>
      <c r="L310" s="51">
        <f>SUM(L311:L313)-SUMIF(CE311:CE313,1,L311:L313)</f>
        <v>0.1599999999999997</v>
      </c>
    </row>
    <row r="311" spans="1:101" ht="14.4" x14ac:dyDescent="0.25">
      <c r="A311" s="49"/>
      <c r="B311" s="45"/>
      <c r="C311" s="49" t="s">
        <v>56</v>
      </c>
      <c r="D311" s="44" t="s">
        <v>31</v>
      </c>
      <c r="E311" s="50"/>
      <c r="F311" s="45"/>
      <c r="G311" s="45">
        <f>Source!V84</f>
        <v>2.7499999999999998E-3</v>
      </c>
      <c r="H311" s="45"/>
      <c r="I311" s="45"/>
      <c r="J311" s="45"/>
      <c r="K311" s="45"/>
      <c r="L311" s="51">
        <f>SUMIF(CE312:CE313,1,L312:L313)</f>
        <v>1.76</v>
      </c>
      <c r="CE311">
        <v>1</v>
      </c>
    </row>
    <row r="312" spans="1:101" ht="41.4" x14ac:dyDescent="0.25">
      <c r="A312" s="43"/>
      <c r="B312" s="43" t="s">
        <v>57</v>
      </c>
      <c r="C312" s="43" t="s">
        <v>58</v>
      </c>
      <c r="D312" s="44" t="s">
        <v>59</v>
      </c>
      <c r="E312" s="45">
        <v>0.11</v>
      </c>
      <c r="F312" s="45">
        <f>ROUND(1.25,7)</f>
        <v>1.25</v>
      </c>
      <c r="G312" s="45">
        <f>SmtRes!CX92</f>
        <v>2.7499999999999998E-3</v>
      </c>
      <c r="H312" s="46">
        <f>SmtRes!CZ92</f>
        <v>37.32</v>
      </c>
      <c r="I312" s="47">
        <f>SmtRes!AJ92</f>
        <v>1.54</v>
      </c>
      <c r="J312" s="46">
        <f>ROUND(H312*I312,2)</f>
        <v>57.47</v>
      </c>
      <c r="K312" s="47"/>
      <c r="L312" s="46">
        <f>SmtRes!DG92</f>
        <v>0.16</v>
      </c>
    </row>
    <row r="313" spans="1:101" ht="14.4" x14ac:dyDescent="0.25">
      <c r="A313" s="43"/>
      <c r="B313" s="43" t="s">
        <v>60</v>
      </c>
      <c r="C313" s="43" t="s">
        <v>61</v>
      </c>
      <c r="D313" s="44" t="s">
        <v>31</v>
      </c>
      <c r="E313" s="45">
        <f>SmtRes!DO92*SmtRes!AT92</f>
        <v>0.11</v>
      </c>
      <c r="F313" s="45">
        <f>ROUND(1.25,7)</f>
        <v>1.25</v>
      </c>
      <c r="G313" s="45">
        <f>ROUND(E313*F313*G305,7)</f>
        <v>2.7499999999999998E-3</v>
      </c>
      <c r="H313" s="46"/>
      <c r="I313" s="47"/>
      <c r="J313" s="46">
        <f>ROUND(SmtRes!AG92/SmtRes!DO92,2)</f>
        <v>641.22</v>
      </c>
      <c r="K313" s="47"/>
      <c r="L313" s="46">
        <f>SmtRes!DH92</f>
        <v>1.76</v>
      </c>
      <c r="CE313">
        <v>1</v>
      </c>
    </row>
    <row r="314" spans="1:101" ht="14.4" x14ac:dyDescent="0.25">
      <c r="A314" s="49"/>
      <c r="B314" s="45">
        <v>4</v>
      </c>
      <c r="C314" s="49" t="s">
        <v>66</v>
      </c>
      <c r="D314" s="44"/>
      <c r="E314" s="50"/>
      <c r="F314" s="45"/>
      <c r="G314" s="45"/>
      <c r="H314" s="45"/>
      <c r="I314" s="45"/>
      <c r="J314" s="45"/>
      <c r="K314" s="45"/>
      <c r="L314" s="51">
        <f>SUM(L315:L316)-SUMIF(CE315:CE316,1,L315:L316)</f>
        <v>7.45</v>
      </c>
    </row>
    <row r="315" spans="1:101" ht="14.4" x14ac:dyDescent="0.25">
      <c r="A315" s="43"/>
      <c r="B315" s="43" t="s">
        <v>259</v>
      </c>
      <c r="C315" s="43" t="s">
        <v>260</v>
      </c>
      <c r="D315" s="44" t="s">
        <v>111</v>
      </c>
      <c r="E315" s="45">
        <v>0.74</v>
      </c>
      <c r="F315" s="45"/>
      <c r="G315" s="45">
        <f>SmtRes!CX93</f>
        <v>1.4800000000000001E-2</v>
      </c>
      <c r="H315" s="46">
        <f>SmtRes!CZ93</f>
        <v>92.95</v>
      </c>
      <c r="I315" s="47">
        <f>SmtRes!AI93</f>
        <v>1.33</v>
      </c>
      <c r="J315" s="46">
        <f>ROUND(H315*I315,2)</f>
        <v>123.62</v>
      </c>
      <c r="K315" s="47"/>
      <c r="L315" s="46">
        <f>SmtRes!DF93</f>
        <v>1.83</v>
      </c>
    </row>
    <row r="316" spans="1:101" ht="27.6" x14ac:dyDescent="0.25">
      <c r="A316" s="43"/>
      <c r="B316" s="43" t="s">
        <v>261</v>
      </c>
      <c r="C316" s="52" t="s">
        <v>262</v>
      </c>
      <c r="D316" s="53" t="s">
        <v>104</v>
      </c>
      <c r="E316" s="54">
        <v>0.06</v>
      </c>
      <c r="F316" s="54"/>
      <c r="G316" s="54">
        <f>SmtRes!CX94</f>
        <v>1.1999999999999999E-3</v>
      </c>
      <c r="H316" s="55">
        <f>SmtRes!CZ94</f>
        <v>3392.36</v>
      </c>
      <c r="I316" s="56">
        <f>SmtRes!AI94</f>
        <v>1.38</v>
      </c>
      <c r="J316" s="55">
        <f>ROUND(H316*I316,2)</f>
        <v>4681.46</v>
      </c>
      <c r="K316" s="56"/>
      <c r="L316" s="55">
        <f>SmtRes!DF94</f>
        <v>5.62</v>
      </c>
    </row>
    <row r="317" spans="1:101" ht="14.4" x14ac:dyDescent="0.25">
      <c r="A317" s="43"/>
      <c r="B317" s="43"/>
      <c r="C317" s="57" t="s">
        <v>70</v>
      </c>
      <c r="D317" s="44"/>
      <c r="E317" s="45"/>
      <c r="F317" s="45"/>
      <c r="G317" s="45"/>
      <c r="H317" s="46"/>
      <c r="I317" s="47"/>
      <c r="J317" s="46"/>
      <c r="K317" s="47"/>
      <c r="L317" s="46">
        <f>L308+L310+L311+L314</f>
        <v>476.56</v>
      </c>
    </row>
    <row r="318" spans="1:101" ht="14.4" x14ac:dyDescent="0.25">
      <c r="A318" s="43"/>
      <c r="B318" s="43"/>
      <c r="C318" s="43" t="s">
        <v>71</v>
      </c>
      <c r="D318" s="44"/>
      <c r="E318" s="45"/>
      <c r="F318" s="45"/>
      <c r="G318" s="45"/>
      <c r="H318" s="46"/>
      <c r="I318" s="47"/>
      <c r="J318" s="46"/>
      <c r="K318" s="47"/>
      <c r="L318" s="46">
        <f>SUM(AR305:AR321)+SUM(AS305:AS321)+SUM(AT305:AT321)+SUM(AU305:AU321)+SUM(AV305:AV321)</f>
        <v>468.95</v>
      </c>
    </row>
    <row r="319" spans="1:101" ht="27.6" x14ac:dyDescent="0.25">
      <c r="A319" s="43"/>
      <c r="B319" s="43" t="s">
        <v>146</v>
      </c>
      <c r="C319" s="43" t="s">
        <v>147</v>
      </c>
      <c r="D319" s="44" t="s">
        <v>74</v>
      </c>
      <c r="E319" s="45">
        <f>Source!BZ84</f>
        <v>100</v>
      </c>
      <c r="F319" s="45">
        <f>ROUND(0.9,7)</f>
        <v>0.9</v>
      </c>
      <c r="G319" s="45">
        <f>Source!AT84</f>
        <v>90</v>
      </c>
      <c r="H319" s="46"/>
      <c r="I319" s="47"/>
      <c r="J319" s="46"/>
      <c r="K319" s="47"/>
      <c r="L319" s="46">
        <f>SUM(AZ305:AZ321)</f>
        <v>422.06</v>
      </c>
    </row>
    <row r="320" spans="1:101" ht="27.6" x14ac:dyDescent="0.25">
      <c r="A320" s="52"/>
      <c r="B320" s="52" t="s">
        <v>148</v>
      </c>
      <c r="C320" s="52" t="s">
        <v>149</v>
      </c>
      <c r="D320" s="53" t="s">
        <v>74</v>
      </c>
      <c r="E320" s="54">
        <f>Source!CA84</f>
        <v>49</v>
      </c>
      <c r="F320" s="54">
        <f>ROUND(0.85,7)</f>
        <v>0.85</v>
      </c>
      <c r="G320" s="54">
        <f>Source!AU84</f>
        <v>41.65</v>
      </c>
      <c r="H320" s="55"/>
      <c r="I320" s="56"/>
      <c r="J320" s="55"/>
      <c r="K320" s="56"/>
      <c r="L320" s="55">
        <f>SUM(BA305:BA321)</f>
        <v>195.32</v>
      </c>
    </row>
    <row r="321" spans="1:101" ht="13.8" x14ac:dyDescent="0.25">
      <c r="C321" s="103" t="s">
        <v>77</v>
      </c>
      <c r="D321" s="103"/>
      <c r="E321" s="103"/>
      <c r="F321" s="103"/>
      <c r="G321" s="103"/>
      <c r="H321" s="103"/>
      <c r="I321" s="104">
        <f>IF(E305&lt;&gt;0,K321/E305,0)</f>
        <v>54697</v>
      </c>
      <c r="J321" s="104"/>
      <c r="K321" s="104">
        <f>L308+L310+L314+L319+L320+L311</f>
        <v>1093.94</v>
      </c>
      <c r="L321" s="104"/>
      <c r="AD321">
        <f>ROUND((Source!AT84/100)*((ROUND(SUMIF(SmtRes!AQ90:'SmtRes'!AQ94,"=1",SmtRes!AD90:'SmtRes'!AD94)*Source!I84,2)+ROUND(SUMIF(SmtRes!AQ90:'SmtRes'!AQ94,"=1",SmtRes!AC90:'SmtRes'!AC94)*Source!I84,2))),2)</f>
        <v>23.81</v>
      </c>
      <c r="AE321">
        <f>ROUND((Source!AU84/100)*((ROUND(SUMIF(SmtRes!AQ90:'SmtRes'!AQ94,"=1",SmtRes!AD90:'SmtRes'!AD94)*Source!I84,2)+ROUND(SUMIF(SmtRes!AQ90:'SmtRes'!AQ94,"=1",SmtRes!AC90:'SmtRes'!AC94)*Source!I84,2))),2)</f>
        <v>11.02</v>
      </c>
      <c r="AN321" s="59">
        <f>L308+L310+L314+L319+L320+L311</f>
        <v>1093.94</v>
      </c>
      <c r="AO321" s="59">
        <f>L310</f>
        <v>0.1599999999999997</v>
      </c>
      <c r="AQ321" t="s">
        <v>78</v>
      </c>
      <c r="AR321" s="59">
        <f>L308</f>
        <v>467.19</v>
      </c>
      <c r="AT321" s="59">
        <f>L311</f>
        <v>1.76</v>
      </c>
      <c r="AV321" t="s">
        <v>78</v>
      </c>
      <c r="AW321" s="59">
        <f>L314</f>
        <v>7.45</v>
      </c>
      <c r="AZ321">
        <f>Source!X84</f>
        <v>422.06</v>
      </c>
      <c r="BA321">
        <f>Source!Y84</f>
        <v>195.32</v>
      </c>
      <c r="CD321">
        <v>1</v>
      </c>
    </row>
    <row r="322" spans="1:101" ht="55.2" x14ac:dyDescent="0.25">
      <c r="A322" s="75" t="s">
        <v>263</v>
      </c>
      <c r="B322" s="43" t="s">
        <v>264</v>
      </c>
      <c r="C322" s="43" t="str">
        <f>Source!G85</f>
        <v>Окраска водно-дисперсионными акриловыми составами улучшенная: по сборным конструкциям потолков, подготовленным под окраску</v>
      </c>
      <c r="D322" s="44" t="str">
        <f>Source!H85</f>
        <v>100 м2</v>
      </c>
      <c r="E322" s="45">
        <f>Source!K85</f>
        <v>0.02</v>
      </c>
      <c r="F322" s="45"/>
      <c r="G322" s="45">
        <f>Source!I85</f>
        <v>0.02</v>
      </c>
      <c r="H322" s="46"/>
      <c r="I322" s="47"/>
      <c r="J322" s="46"/>
      <c r="K322" s="47"/>
      <c r="L322" s="46"/>
    </row>
    <row r="323" spans="1:101" ht="52.8" x14ac:dyDescent="0.25">
      <c r="B323" s="60" t="s">
        <v>137</v>
      </c>
      <c r="C323" s="106" t="s">
        <v>138</v>
      </c>
      <c r="D323" s="106"/>
      <c r="E323" s="106"/>
      <c r="F323" s="106"/>
      <c r="G323" s="106"/>
      <c r="H323" s="106"/>
      <c r="I323" s="106"/>
      <c r="J323" s="106"/>
      <c r="K323" s="106"/>
      <c r="L323" s="106"/>
      <c r="CW323" s="77" t="s">
        <v>138</v>
      </c>
    </row>
    <row r="324" spans="1:101" x14ac:dyDescent="0.25">
      <c r="C324" s="48" t="str">
        <f>"Объем: "&amp;Source!I85&amp;"=2/"&amp;"100"</f>
        <v>Объем: 0,02=2/100</v>
      </c>
    </row>
    <row r="325" spans="1:101" ht="14.4" x14ac:dyDescent="0.25">
      <c r="A325" s="49"/>
      <c r="B325" s="45">
        <v>1</v>
      </c>
      <c r="C325" s="49" t="s">
        <v>52</v>
      </c>
      <c r="D325" s="44" t="s">
        <v>31</v>
      </c>
      <c r="E325" s="50"/>
      <c r="F325" s="45"/>
      <c r="G325" s="45">
        <f>Source!U85</f>
        <v>0.91954000000000002</v>
      </c>
      <c r="H325" s="45"/>
      <c r="I325" s="45"/>
      <c r="J325" s="45"/>
      <c r="K325" s="45"/>
      <c r="L325" s="51">
        <f>SUM(L326:L326)-SUMIF(CE326:CE326,1,L326:L326)</f>
        <v>611.92999999999995</v>
      </c>
    </row>
    <row r="326" spans="1:101" ht="14.4" x14ac:dyDescent="0.25">
      <c r="A326" s="43"/>
      <c r="B326" s="43" t="s">
        <v>139</v>
      </c>
      <c r="C326" s="43" t="s">
        <v>140</v>
      </c>
      <c r="D326" s="44" t="s">
        <v>31</v>
      </c>
      <c r="E326" s="45">
        <v>39.979999999999997</v>
      </c>
      <c r="F326" s="45">
        <f>ROUND(1.15,7)</f>
        <v>1.1499999999999999</v>
      </c>
      <c r="G326" s="45">
        <f>SmtRes!CX95</f>
        <v>0.91954000000000002</v>
      </c>
      <c r="H326" s="46"/>
      <c r="I326" s="47"/>
      <c r="J326" s="46">
        <f>SmtRes!CZ95</f>
        <v>665.47</v>
      </c>
      <c r="K326" s="47"/>
      <c r="L326" s="46">
        <f>SmtRes!DI95</f>
        <v>611.92999999999995</v>
      </c>
    </row>
    <row r="327" spans="1:101" ht="14.4" x14ac:dyDescent="0.25">
      <c r="A327" s="49"/>
      <c r="B327" s="45">
        <v>2</v>
      </c>
      <c r="C327" s="49" t="s">
        <v>55</v>
      </c>
      <c r="D327" s="44"/>
      <c r="E327" s="50"/>
      <c r="F327" s="45"/>
      <c r="G327" s="45"/>
      <c r="H327" s="45"/>
      <c r="I327" s="45"/>
      <c r="J327" s="45"/>
      <c r="K327" s="45"/>
      <c r="L327" s="51">
        <f>SUM(L328:L332)-SUMIF(CE328:CE332,1,L328:L332)</f>
        <v>1.6200000000000006</v>
      </c>
    </row>
    <row r="328" spans="1:101" ht="14.4" x14ac:dyDescent="0.25">
      <c r="A328" s="49"/>
      <c r="B328" s="45"/>
      <c r="C328" s="49" t="s">
        <v>56</v>
      </c>
      <c r="D328" s="44" t="s">
        <v>31</v>
      </c>
      <c r="E328" s="50"/>
      <c r="F328" s="45"/>
      <c r="G328" s="45">
        <f>Source!V85</f>
        <v>2.7499999999999998E-3</v>
      </c>
      <c r="H328" s="45"/>
      <c r="I328" s="45"/>
      <c r="J328" s="45"/>
      <c r="K328" s="45"/>
      <c r="L328" s="51">
        <f>SUMIF(CE329:CE332,1,L329:L332)</f>
        <v>1.97</v>
      </c>
      <c r="CE328">
        <v>1</v>
      </c>
    </row>
    <row r="329" spans="1:101" ht="41.4" x14ac:dyDescent="0.25">
      <c r="A329" s="43"/>
      <c r="B329" s="43" t="s">
        <v>265</v>
      </c>
      <c r="C329" s="43" t="s">
        <v>266</v>
      </c>
      <c r="D329" s="44" t="s">
        <v>59</v>
      </c>
      <c r="E329" s="45">
        <v>0.01</v>
      </c>
      <c r="F329" s="45">
        <f>ROUND(1.25,7)</f>
        <v>1.25</v>
      </c>
      <c r="G329" s="45">
        <f>SmtRes!CX97</f>
        <v>2.5000000000000001E-4</v>
      </c>
      <c r="H329" s="46">
        <f>SmtRes!CZ97</f>
        <v>30.61</v>
      </c>
      <c r="I329" s="47">
        <f>SmtRes!AJ97</f>
        <v>1.54</v>
      </c>
      <c r="J329" s="46">
        <f>ROUND(H329*I329,2)</f>
        <v>47.14</v>
      </c>
      <c r="K329" s="47"/>
      <c r="L329" s="46">
        <f>SmtRes!DG97</f>
        <v>0.01</v>
      </c>
    </row>
    <row r="330" spans="1:101" ht="14.4" x14ac:dyDescent="0.25">
      <c r="A330" s="43"/>
      <c r="B330" s="43" t="s">
        <v>60</v>
      </c>
      <c r="C330" s="43" t="s">
        <v>61</v>
      </c>
      <c r="D330" s="44" t="s">
        <v>31</v>
      </c>
      <c r="E330" s="45">
        <f>SmtRes!DO97*SmtRes!AT97</f>
        <v>0.01</v>
      </c>
      <c r="F330" s="45">
        <f>ROUND(1.25,7)</f>
        <v>1.25</v>
      </c>
      <c r="G330" s="45">
        <f>ROUND(E330*F330*G322,7)</f>
        <v>2.5000000000000001E-4</v>
      </c>
      <c r="H330" s="46"/>
      <c r="I330" s="47"/>
      <c r="J330" s="46">
        <f>ROUND(SmtRes!AG97/SmtRes!DO97,2)</f>
        <v>641.22</v>
      </c>
      <c r="K330" s="47"/>
      <c r="L330" s="46">
        <f>SmtRes!DH97</f>
        <v>0.16</v>
      </c>
      <c r="CE330">
        <v>1</v>
      </c>
    </row>
    <row r="331" spans="1:101" ht="27.6" x14ac:dyDescent="0.25">
      <c r="A331" s="43"/>
      <c r="B331" s="43" t="s">
        <v>62</v>
      </c>
      <c r="C331" s="43" t="s">
        <v>63</v>
      </c>
      <c r="D331" s="44" t="s">
        <v>59</v>
      </c>
      <c r="E331" s="45">
        <v>0.1</v>
      </c>
      <c r="F331" s="45">
        <f>ROUND(1.25,7)</f>
        <v>1.25</v>
      </c>
      <c r="G331" s="45">
        <f>SmtRes!CX98</f>
        <v>2.5000000000000001E-3</v>
      </c>
      <c r="H331" s="46"/>
      <c r="I331" s="47"/>
      <c r="J331" s="46">
        <f>SmtRes!CZ98</f>
        <v>643.29</v>
      </c>
      <c r="K331" s="47"/>
      <c r="L331" s="46">
        <f>SmtRes!DG98</f>
        <v>1.61</v>
      </c>
    </row>
    <row r="332" spans="1:101" ht="14.4" x14ac:dyDescent="0.25">
      <c r="A332" s="43"/>
      <c r="B332" s="43" t="s">
        <v>64</v>
      </c>
      <c r="C332" s="43" t="s">
        <v>65</v>
      </c>
      <c r="D332" s="44" t="s">
        <v>31</v>
      </c>
      <c r="E332" s="45">
        <f>SmtRes!DO98*SmtRes!AT98</f>
        <v>0.1</v>
      </c>
      <c r="F332" s="45">
        <f>ROUND(1.25,7)</f>
        <v>1.25</v>
      </c>
      <c r="G332" s="45">
        <f>ROUND(E332*F332*G322,7)</f>
        <v>2.5000000000000001E-3</v>
      </c>
      <c r="H332" s="46"/>
      <c r="I332" s="47"/>
      <c r="J332" s="46">
        <f>ROUND(SmtRes!AG98/SmtRes!DO98,2)</f>
        <v>722.05</v>
      </c>
      <c r="K332" s="47"/>
      <c r="L332" s="46">
        <f>SmtRes!DH98</f>
        <v>1.81</v>
      </c>
      <c r="CE332">
        <v>1</v>
      </c>
    </row>
    <row r="333" spans="1:101" ht="14.4" x14ac:dyDescent="0.25">
      <c r="A333" s="49"/>
      <c r="B333" s="45">
        <v>4</v>
      </c>
      <c r="C333" s="49" t="s">
        <v>66</v>
      </c>
      <c r="D333" s="44"/>
      <c r="E333" s="50"/>
      <c r="F333" s="45"/>
      <c r="G333" s="45"/>
      <c r="H333" s="45"/>
      <c r="I333" s="45"/>
      <c r="J333" s="45"/>
      <c r="K333" s="45"/>
      <c r="L333" s="51">
        <f>SUM(L334:L336)-SUMIF(CE334:CE336,1,L334:L336)</f>
        <v>20.89</v>
      </c>
    </row>
    <row r="334" spans="1:101" ht="27.6" x14ac:dyDescent="0.25">
      <c r="A334" s="43"/>
      <c r="B334" s="43" t="s">
        <v>267</v>
      </c>
      <c r="C334" s="43" t="s">
        <v>268</v>
      </c>
      <c r="D334" s="44" t="s">
        <v>269</v>
      </c>
      <c r="E334" s="45">
        <v>0.84</v>
      </c>
      <c r="F334" s="45"/>
      <c r="G334" s="45">
        <f>SmtRes!CX99</f>
        <v>1.6799999999999999E-2</v>
      </c>
      <c r="H334" s="46">
        <f>SmtRes!CZ99</f>
        <v>531.44000000000005</v>
      </c>
      <c r="I334" s="47">
        <f>SmtRes!AI99</f>
        <v>1.33</v>
      </c>
      <c r="J334" s="46">
        <f>ROUND(H334*I334,2)</f>
        <v>706.82</v>
      </c>
      <c r="K334" s="47"/>
      <c r="L334" s="46">
        <f>SmtRes!DF99</f>
        <v>11.87</v>
      </c>
    </row>
    <row r="335" spans="1:101" ht="14.4" x14ac:dyDescent="0.25">
      <c r="A335" s="43"/>
      <c r="B335" s="43" t="s">
        <v>141</v>
      </c>
      <c r="C335" s="43" t="s">
        <v>142</v>
      </c>
      <c r="D335" s="44" t="s">
        <v>111</v>
      </c>
      <c r="E335" s="45">
        <v>0.31</v>
      </c>
      <c r="F335" s="45"/>
      <c r="G335" s="45">
        <f>SmtRes!CX100</f>
        <v>6.1999999999999998E-3</v>
      </c>
      <c r="H335" s="46">
        <f>SmtRes!CZ100</f>
        <v>56.11</v>
      </c>
      <c r="I335" s="47">
        <f>SmtRes!AI100</f>
        <v>1.54</v>
      </c>
      <c r="J335" s="46">
        <f>ROUND(H335*I335,2)</f>
        <v>86.41</v>
      </c>
      <c r="K335" s="47"/>
      <c r="L335" s="46">
        <f>SmtRes!DF100</f>
        <v>0.54</v>
      </c>
    </row>
    <row r="336" spans="1:101" ht="14.4" x14ac:dyDescent="0.25">
      <c r="A336" s="43"/>
      <c r="B336" s="43" t="s">
        <v>270</v>
      </c>
      <c r="C336" s="43" t="s">
        <v>271</v>
      </c>
      <c r="D336" s="44" t="s">
        <v>87</v>
      </c>
      <c r="E336" s="45">
        <v>5.4999999999999997E-3</v>
      </c>
      <c r="F336" s="45"/>
      <c r="G336" s="45">
        <f>SmtRes!CX103</f>
        <v>1.1E-4</v>
      </c>
      <c r="H336" s="46">
        <f>SmtRes!CZ103</f>
        <v>52790.33</v>
      </c>
      <c r="I336" s="47">
        <f>SmtRes!AI103</f>
        <v>1.46</v>
      </c>
      <c r="J336" s="46">
        <f>ROUND(H336*I336,2)</f>
        <v>77073.88</v>
      </c>
      <c r="K336" s="47"/>
      <c r="L336" s="46">
        <f>SmtRes!DF103</f>
        <v>8.48</v>
      </c>
    </row>
    <row r="337" spans="1:83" ht="14.4" x14ac:dyDescent="0.25">
      <c r="A337" s="43"/>
      <c r="B337" s="43" t="str">
        <f>EtalonRes!I102</f>
        <v>14.3.02.01</v>
      </c>
      <c r="C337" s="43" t="str">
        <f>EtalonRes!K102</f>
        <v>Краска акриловая</v>
      </c>
      <c r="D337" s="44" t="str">
        <f>EtalonRes!O102</f>
        <v>т</v>
      </c>
      <c r="E337" s="45">
        <f>EtalonRes!X102</f>
        <v>3.3000000000000002E-2</v>
      </c>
      <c r="F337" s="45"/>
      <c r="G337" s="45">
        <f>ROUND(EtalonRes!AG102*Source!I85,7)</f>
        <v>6.6E-4</v>
      </c>
      <c r="H337" s="46"/>
      <c r="I337" s="47"/>
      <c r="J337" s="46"/>
      <c r="K337" s="47"/>
      <c r="L337" s="46"/>
    </row>
    <row r="338" spans="1:83" ht="14.4" x14ac:dyDescent="0.25">
      <c r="A338" s="43"/>
      <c r="B338" s="43" t="str">
        <f>EtalonRes!I103</f>
        <v>14.4.01.02</v>
      </c>
      <c r="C338" s="52" t="str">
        <f>EtalonRes!K103</f>
        <v>Грунтовка</v>
      </c>
      <c r="D338" s="53" t="str">
        <f>EtalonRes!O103</f>
        <v>т</v>
      </c>
      <c r="E338" s="54">
        <f>EtalonRes!X103</f>
        <v>2.1999999999999999E-2</v>
      </c>
      <c r="F338" s="54"/>
      <c r="G338" s="54">
        <f>ROUND(EtalonRes!AG103*Source!I85,7)</f>
        <v>4.4000000000000002E-4</v>
      </c>
      <c r="H338" s="55"/>
      <c r="I338" s="56"/>
      <c r="J338" s="55"/>
      <c r="K338" s="56"/>
      <c r="L338" s="55"/>
    </row>
    <row r="339" spans="1:83" ht="14.4" x14ac:dyDescent="0.25">
      <c r="A339" s="43"/>
      <c r="B339" s="43"/>
      <c r="C339" s="57" t="s">
        <v>70</v>
      </c>
      <c r="D339" s="44"/>
      <c r="E339" s="45"/>
      <c r="F339" s="45"/>
      <c r="G339" s="45"/>
      <c r="H339" s="46"/>
      <c r="I339" s="47"/>
      <c r="J339" s="46"/>
      <c r="K339" s="47"/>
      <c r="L339" s="46">
        <f>L325+L327+L328+L333</f>
        <v>636.41</v>
      </c>
    </row>
    <row r="340" spans="1:83" ht="27.6" x14ac:dyDescent="0.25">
      <c r="A340" s="75" t="s">
        <v>272</v>
      </c>
      <c r="B340" s="43" t="str">
        <f>Source!F86</f>
        <v>14.3.02.01-0382</v>
      </c>
      <c r="C340" s="43" t="str">
        <f>Source!G86</f>
        <v>Краска водно-дисперсионная акрилатная ВД-АК-205</v>
      </c>
      <c r="D340" s="44" t="str">
        <f>Source!H86</f>
        <v>т</v>
      </c>
      <c r="E340" s="45">
        <f>SmtRes!AT101</f>
        <v>3.3000000000000002E-2</v>
      </c>
      <c r="F340" s="45"/>
      <c r="G340" s="45">
        <f>Source!I86</f>
        <v>6.6E-4</v>
      </c>
      <c r="H340" s="46">
        <f>Source!AL86+Source!AO86+Source!AM86+Source!AN86</f>
        <v>64105.1</v>
      </c>
      <c r="I340" s="47">
        <f>IF(Source!BC86&lt;&gt;0,Source!BC86,1)</f>
        <v>1.77</v>
      </c>
      <c r="J340" s="46">
        <f>ROUND(H340*I340,2)</f>
        <v>113466.03</v>
      </c>
      <c r="K340" s="47"/>
      <c r="L340" s="46">
        <f>Source!P86</f>
        <v>74.89</v>
      </c>
      <c r="AD340">
        <f>ROUND((Source!AT86/100)*((ROUND(ROUND(Source!AO86,2)*Source!I86,2)+ROUND(ROUND(Source!AN86,2)*Source!I86,2))),2)</f>
        <v>0</v>
      </c>
      <c r="AE340">
        <f>ROUND((Source!AU86/100)*((ROUND(ROUND(Source!AO86,2)*Source!I86,2)+ROUND(ROUND(Source!AN86,2)*Source!I86,2))),2)</f>
        <v>0</v>
      </c>
      <c r="AN340">
        <f>L340</f>
        <v>74.89</v>
      </c>
      <c r="AW340">
        <f>L340</f>
        <v>74.89</v>
      </c>
      <c r="AZ340">
        <f>Source!X86</f>
        <v>0</v>
      </c>
      <c r="BA340">
        <f>Source!Y86</f>
        <v>0</v>
      </c>
      <c r="CD340">
        <v>1</v>
      </c>
    </row>
    <row r="341" spans="1:83" ht="14.4" x14ac:dyDescent="0.25">
      <c r="A341" s="75" t="s">
        <v>273</v>
      </c>
      <c r="B341" s="43" t="str">
        <f>Source!F87</f>
        <v>14.4.01.02-0212</v>
      </c>
      <c r="C341" s="43" t="str">
        <f>Source!G87</f>
        <v>Грунтовка акриловая АК-070</v>
      </c>
      <c r="D341" s="44" t="str">
        <f>Source!H87</f>
        <v>т</v>
      </c>
      <c r="E341" s="45">
        <f>SmtRes!AT102</f>
        <v>2.1999999999999999E-2</v>
      </c>
      <c r="F341" s="45"/>
      <c r="G341" s="45">
        <f>Source!I87</f>
        <v>4.4000000000000002E-4</v>
      </c>
      <c r="H341" s="46">
        <f>Source!AL87+Source!AO87+Source!AM87+Source!AN87</f>
        <v>178871.85</v>
      </c>
      <c r="I341" s="47">
        <f>IF(Source!BC87&lt;&gt;0,Source!BC87,1)</f>
        <v>1.25</v>
      </c>
      <c r="J341" s="46">
        <f>ROUND(H341*I341,2)</f>
        <v>223589.81</v>
      </c>
      <c r="K341" s="47"/>
      <c r="L341" s="46">
        <f>Source!P87</f>
        <v>98.38</v>
      </c>
      <c r="AD341">
        <f>ROUND((Source!AT87/100)*((ROUND(ROUND(Source!AO87,2)*Source!I87,2)+ROUND(ROUND(Source!AN87,2)*Source!I87,2))),2)</f>
        <v>0</v>
      </c>
      <c r="AE341">
        <f>ROUND((Source!AU87/100)*((ROUND(ROUND(Source!AO87,2)*Source!I87,2)+ROUND(ROUND(Source!AN87,2)*Source!I87,2))),2)</f>
        <v>0</v>
      </c>
      <c r="AN341">
        <f>L341</f>
        <v>98.38</v>
      </c>
      <c r="AW341">
        <f>L341</f>
        <v>98.38</v>
      </c>
      <c r="AZ341">
        <f>Source!X87</f>
        <v>0</v>
      </c>
      <c r="BA341">
        <f>Source!Y87</f>
        <v>0</v>
      </c>
      <c r="CD341">
        <v>1</v>
      </c>
    </row>
    <row r="342" spans="1:83" ht="14.4" x14ac:dyDescent="0.25">
      <c r="A342" s="43"/>
      <c r="B342" s="43"/>
      <c r="C342" s="43" t="s">
        <v>71</v>
      </c>
      <c r="D342" s="44"/>
      <c r="E342" s="45"/>
      <c r="F342" s="45"/>
      <c r="G342" s="45"/>
      <c r="H342" s="46"/>
      <c r="I342" s="47"/>
      <c r="J342" s="46"/>
      <c r="K342" s="47"/>
      <c r="L342" s="46">
        <f>SUM(AR322:AR345)+SUM(AS322:AS345)+SUM(AT322:AT345)+SUM(AU322:AU345)+SUM(AV322:AV345)</f>
        <v>613.9</v>
      </c>
    </row>
    <row r="343" spans="1:83" ht="27.6" x14ac:dyDescent="0.25">
      <c r="A343" s="43"/>
      <c r="B343" s="43" t="s">
        <v>146</v>
      </c>
      <c r="C343" s="43" t="s">
        <v>147</v>
      </c>
      <c r="D343" s="44" t="s">
        <v>74</v>
      </c>
      <c r="E343" s="45">
        <f>Source!BZ85</f>
        <v>100</v>
      </c>
      <c r="F343" s="45">
        <f>ROUND(0.9,7)</f>
        <v>0.9</v>
      </c>
      <c r="G343" s="45">
        <f>Source!AT85</f>
        <v>90</v>
      </c>
      <c r="H343" s="46"/>
      <c r="I343" s="47"/>
      <c r="J343" s="46"/>
      <c r="K343" s="47"/>
      <c r="L343" s="46">
        <f>SUM(AZ322:AZ345)</f>
        <v>552.51</v>
      </c>
    </row>
    <row r="344" spans="1:83" ht="27.6" x14ac:dyDescent="0.25">
      <c r="A344" s="52"/>
      <c r="B344" s="52" t="s">
        <v>148</v>
      </c>
      <c r="C344" s="52" t="s">
        <v>149</v>
      </c>
      <c r="D344" s="53" t="s">
        <v>74</v>
      </c>
      <c r="E344" s="54">
        <f>Source!CA85</f>
        <v>49</v>
      </c>
      <c r="F344" s="54">
        <f>ROUND(0.85,7)</f>
        <v>0.85</v>
      </c>
      <c r="G344" s="54">
        <f>Source!AU85</f>
        <v>41.65</v>
      </c>
      <c r="H344" s="55"/>
      <c r="I344" s="56"/>
      <c r="J344" s="55"/>
      <c r="K344" s="56"/>
      <c r="L344" s="55">
        <f>SUM(BA322:BA345)</f>
        <v>255.69</v>
      </c>
    </row>
    <row r="345" spans="1:83" ht="13.8" x14ac:dyDescent="0.25">
      <c r="C345" s="103" t="s">
        <v>77</v>
      </c>
      <c r="D345" s="103"/>
      <c r="E345" s="103"/>
      <c r="F345" s="103"/>
      <c r="G345" s="103"/>
      <c r="H345" s="103"/>
      <c r="I345" s="104">
        <f>IF(E322&lt;&gt;0,K345/E322,0)</f>
        <v>80893.999999999985</v>
      </c>
      <c r="J345" s="104"/>
      <c r="K345" s="104">
        <f>L325+L327+L333+L343+L344+L328+SUM(L340:L341)</f>
        <v>1617.8799999999999</v>
      </c>
      <c r="L345" s="104"/>
      <c r="AD345">
        <f>ROUND((Source!AT85/100)*((ROUND(SUMIF(SmtRes!AQ95:'SmtRes'!AQ103,"=1",SmtRes!AD95:'SmtRes'!AD103)*Source!I85,2)+ROUND(SUMIF(SmtRes!AQ95:'SmtRes'!AQ103,"=1",SmtRes!AC95:'SmtRes'!AC103)*Source!I85,2))),2)</f>
        <v>36.520000000000003</v>
      </c>
      <c r="AE345">
        <f>ROUND((Source!AU85/100)*((ROUND(SUMIF(SmtRes!AQ95:'SmtRes'!AQ103,"=1",SmtRes!AD95:'SmtRes'!AD103)*Source!I85,2)+ROUND(SUMIF(SmtRes!AQ95:'SmtRes'!AQ103,"=1",SmtRes!AC95:'SmtRes'!AC103)*Source!I85,2))),2)</f>
        <v>16.899999999999999</v>
      </c>
      <c r="AN345" s="59">
        <f>L325+L327+L333+L343+L344+L328</f>
        <v>1444.61</v>
      </c>
      <c r="AO345" s="59">
        <f>L327</f>
        <v>1.6200000000000006</v>
      </c>
      <c r="AQ345" t="s">
        <v>78</v>
      </c>
      <c r="AR345" s="59">
        <f>L325</f>
        <v>611.92999999999995</v>
      </c>
      <c r="AT345" s="59">
        <f>L328</f>
        <v>1.97</v>
      </c>
      <c r="AV345" t="s">
        <v>78</v>
      </c>
      <c r="AW345" s="59">
        <f>L333</f>
        <v>20.89</v>
      </c>
      <c r="AZ345">
        <f>Source!X85</f>
        <v>552.51</v>
      </c>
      <c r="BA345">
        <f>Source!Y85</f>
        <v>255.69</v>
      </c>
      <c r="CD345">
        <v>1</v>
      </c>
    </row>
    <row r="346" spans="1:83" ht="27.6" x14ac:dyDescent="0.25">
      <c r="A346" s="75" t="s">
        <v>274</v>
      </c>
      <c r="B346" s="43" t="s">
        <v>275</v>
      </c>
      <c r="C346" s="43" t="str">
        <f>Source!G88</f>
        <v>Смена задвижек диаметром: 50 мм/диам. 50 мм и 20 мм</v>
      </c>
      <c r="D346" s="44" t="str">
        <f>Source!H88</f>
        <v>100 ШТ</v>
      </c>
      <c r="E346" s="45">
        <f>Source!K88</f>
        <v>0.05</v>
      </c>
      <c r="F346" s="45"/>
      <c r="G346" s="45">
        <f>Source!I88</f>
        <v>0.05</v>
      </c>
      <c r="H346" s="46"/>
      <c r="I346" s="47"/>
      <c r="J346" s="46"/>
      <c r="K346" s="47"/>
      <c r="L346" s="46"/>
    </row>
    <row r="347" spans="1:83" x14ac:dyDescent="0.25">
      <c r="C347" s="48" t="str">
        <f>"Объем: "&amp;Source!I88&amp;"=5/"&amp;"100"</f>
        <v>Объем: 0,05=5/100</v>
      </c>
    </row>
    <row r="348" spans="1:83" ht="14.4" x14ac:dyDescent="0.25">
      <c r="A348" s="49"/>
      <c r="B348" s="45">
        <v>1</v>
      </c>
      <c r="C348" s="49" t="s">
        <v>52</v>
      </c>
      <c r="D348" s="44" t="s">
        <v>31</v>
      </c>
      <c r="E348" s="50"/>
      <c r="F348" s="45"/>
      <c r="G348" s="45">
        <f>Source!U88</f>
        <v>15.4</v>
      </c>
      <c r="H348" s="45"/>
      <c r="I348" s="45"/>
      <c r="J348" s="45"/>
      <c r="K348" s="45"/>
      <c r="L348" s="51">
        <f>SUM(L349:L349)-SUMIF(CE349:CE349,1,L349:L349)</f>
        <v>10497.1</v>
      </c>
    </row>
    <row r="349" spans="1:83" ht="14.4" x14ac:dyDescent="0.25">
      <c r="A349" s="43"/>
      <c r="B349" s="43" t="s">
        <v>53</v>
      </c>
      <c r="C349" s="43" t="s">
        <v>54</v>
      </c>
      <c r="D349" s="44" t="s">
        <v>31</v>
      </c>
      <c r="E349" s="45">
        <v>308</v>
      </c>
      <c r="F349" s="45"/>
      <c r="G349" s="45">
        <f>SmtRes!CX104</f>
        <v>15.4</v>
      </c>
      <c r="H349" s="46"/>
      <c r="I349" s="47"/>
      <c r="J349" s="46">
        <f>SmtRes!CZ104</f>
        <v>681.63</v>
      </c>
      <c r="K349" s="47"/>
      <c r="L349" s="46">
        <f>SmtRes!DI104</f>
        <v>10497.1</v>
      </c>
    </row>
    <row r="350" spans="1:83" ht="14.4" x14ac:dyDescent="0.25">
      <c r="A350" s="49"/>
      <c r="B350" s="45">
        <v>2</v>
      </c>
      <c r="C350" s="49" t="s">
        <v>55</v>
      </c>
      <c r="D350" s="44"/>
      <c r="E350" s="50"/>
      <c r="F350" s="45"/>
      <c r="G350" s="45"/>
      <c r="H350" s="45"/>
      <c r="I350" s="45"/>
      <c r="J350" s="45"/>
      <c r="K350" s="45"/>
      <c r="L350" s="51">
        <f>SUM(L351:L353)-SUMIF(CE351:CE353,1,L351:L353)</f>
        <v>51.459999999999994</v>
      </c>
    </row>
    <row r="351" spans="1:83" ht="14.4" x14ac:dyDescent="0.25">
      <c r="A351" s="49"/>
      <c r="B351" s="45"/>
      <c r="C351" s="49" t="s">
        <v>56</v>
      </c>
      <c r="D351" s="44" t="s">
        <v>31</v>
      </c>
      <c r="E351" s="50"/>
      <c r="F351" s="45"/>
      <c r="G351" s="45">
        <f>Source!V88</f>
        <v>0.08</v>
      </c>
      <c r="H351" s="45"/>
      <c r="I351" s="45"/>
      <c r="J351" s="45"/>
      <c r="K351" s="45"/>
      <c r="L351" s="51">
        <f>SUMIF(CE352:CE353,1,L352:L353)</f>
        <v>57.76</v>
      </c>
      <c r="CE351">
        <v>1</v>
      </c>
    </row>
    <row r="352" spans="1:83" ht="27.6" x14ac:dyDescent="0.25">
      <c r="A352" s="43"/>
      <c r="B352" s="43" t="s">
        <v>62</v>
      </c>
      <c r="C352" s="43" t="s">
        <v>63</v>
      </c>
      <c r="D352" s="44" t="s">
        <v>59</v>
      </c>
      <c r="E352" s="45">
        <v>1.6</v>
      </c>
      <c r="F352" s="45"/>
      <c r="G352" s="45">
        <f>SmtRes!CX106</f>
        <v>0.08</v>
      </c>
      <c r="H352" s="46"/>
      <c r="I352" s="47"/>
      <c r="J352" s="46">
        <f>SmtRes!CZ106</f>
        <v>643.29</v>
      </c>
      <c r="K352" s="47"/>
      <c r="L352" s="46">
        <f>SmtRes!DG106</f>
        <v>51.46</v>
      </c>
    </row>
    <row r="353" spans="1:83" ht="14.4" x14ac:dyDescent="0.25">
      <c r="A353" s="43"/>
      <c r="B353" s="43" t="s">
        <v>64</v>
      </c>
      <c r="C353" s="43" t="s">
        <v>65</v>
      </c>
      <c r="D353" s="44" t="s">
        <v>31</v>
      </c>
      <c r="E353" s="45">
        <f>SmtRes!DO106*SmtRes!AT106</f>
        <v>1.6</v>
      </c>
      <c r="F353" s="45"/>
      <c r="G353" s="45">
        <f>ROUND(E353*G346,7)</f>
        <v>0.08</v>
      </c>
      <c r="H353" s="46"/>
      <c r="I353" s="47"/>
      <c r="J353" s="46">
        <f>ROUND(SmtRes!AG106/SmtRes!DO106,2)</f>
        <v>722.05</v>
      </c>
      <c r="K353" s="47"/>
      <c r="L353" s="46">
        <f>SmtRes!DH106</f>
        <v>57.76</v>
      </c>
      <c r="CE353">
        <v>1</v>
      </c>
    </row>
    <row r="354" spans="1:83" ht="14.4" x14ac:dyDescent="0.25">
      <c r="A354" s="49"/>
      <c r="B354" s="45">
        <v>4</v>
      </c>
      <c r="C354" s="49" t="s">
        <v>66</v>
      </c>
      <c r="D354" s="44"/>
      <c r="E354" s="50"/>
      <c r="F354" s="45"/>
      <c r="G354" s="45"/>
      <c r="H354" s="45"/>
      <c r="I354" s="45"/>
      <c r="J354" s="45"/>
      <c r="K354" s="45"/>
      <c r="L354" s="51">
        <f>SUM(L355:L356)-SUMIF(CE355:CE356,1,L355:L356)</f>
        <v>992.59</v>
      </c>
    </row>
    <row r="355" spans="1:83" ht="27.6" x14ac:dyDescent="0.25">
      <c r="A355" s="43"/>
      <c r="B355" s="43" t="s">
        <v>276</v>
      </c>
      <c r="C355" s="43" t="s">
        <v>277</v>
      </c>
      <c r="D355" s="44" t="s">
        <v>84</v>
      </c>
      <c r="E355" s="45">
        <v>0.2</v>
      </c>
      <c r="F355" s="45"/>
      <c r="G355" s="45">
        <f>SmtRes!CX107</f>
        <v>0.01</v>
      </c>
      <c r="H355" s="46">
        <f>SmtRes!CZ107</f>
        <v>7023.63</v>
      </c>
      <c r="I355" s="47">
        <f>SmtRes!AI107</f>
        <v>1.18</v>
      </c>
      <c r="J355" s="46">
        <f>ROUND(H355*I355,2)</f>
        <v>8287.8799999999992</v>
      </c>
      <c r="K355" s="47"/>
      <c r="L355" s="46">
        <f>SmtRes!DF107</f>
        <v>82.88</v>
      </c>
    </row>
    <row r="356" spans="1:83" ht="69" x14ac:dyDescent="0.25">
      <c r="A356" s="43"/>
      <c r="B356" s="43" t="s">
        <v>85</v>
      </c>
      <c r="C356" s="43" t="s">
        <v>86</v>
      </c>
      <c r="D356" s="44" t="s">
        <v>87</v>
      </c>
      <c r="E356" s="45">
        <v>0.11</v>
      </c>
      <c r="F356" s="45"/>
      <c r="G356" s="45">
        <f>SmtRes!CX108</f>
        <v>5.4999999999999997E-3</v>
      </c>
      <c r="H356" s="46">
        <f>SmtRes!CZ108</f>
        <v>151744.95000000001</v>
      </c>
      <c r="I356" s="47">
        <f>SmtRes!AI108</f>
        <v>1.0900000000000001</v>
      </c>
      <c r="J356" s="46">
        <f>ROUND(H356*I356,2)</f>
        <v>165402</v>
      </c>
      <c r="K356" s="47"/>
      <c r="L356" s="46">
        <f>SmtRes!DF108</f>
        <v>909.71</v>
      </c>
    </row>
    <row r="357" spans="1:83" ht="14.4" x14ac:dyDescent="0.25">
      <c r="A357" s="43"/>
      <c r="B357" s="43" t="str">
        <f>EtalonRes!I110</f>
        <v>18.1.02.01</v>
      </c>
      <c r="C357" s="52" t="str">
        <f>EtalonRes!K110</f>
        <v>Задвижки</v>
      </c>
      <c r="D357" s="53" t="str">
        <f>EtalonRes!O110</f>
        <v>ШТ</v>
      </c>
      <c r="E357" s="54">
        <f>EtalonRes!X110</f>
        <v>100</v>
      </c>
      <c r="F357" s="54"/>
      <c r="G357" s="54">
        <f>ROUND(EtalonRes!AG110*Source!I88,7)</f>
        <v>5</v>
      </c>
      <c r="H357" s="55"/>
      <c r="I357" s="56"/>
      <c r="J357" s="55"/>
      <c r="K357" s="56"/>
      <c r="L357" s="55"/>
    </row>
    <row r="358" spans="1:83" ht="14.4" x14ac:dyDescent="0.25">
      <c r="A358" s="43"/>
      <c r="B358" s="43"/>
      <c r="C358" s="57" t="s">
        <v>70</v>
      </c>
      <c r="D358" s="44"/>
      <c r="E358" s="45"/>
      <c r="F358" s="45"/>
      <c r="G358" s="45"/>
      <c r="H358" s="46"/>
      <c r="I358" s="47"/>
      <c r="J358" s="46"/>
      <c r="K358" s="47"/>
      <c r="L358" s="46">
        <f>L348+L350+L351+L354</f>
        <v>11598.91</v>
      </c>
    </row>
    <row r="359" spans="1:83" ht="55.2" x14ac:dyDescent="0.25">
      <c r="A359" s="75" t="s">
        <v>278</v>
      </c>
      <c r="B359" s="43" t="str">
        <f>Source!F89</f>
        <v>18.1.09.08-0042</v>
      </c>
      <c r="C359" s="43" t="str">
        <f>Source!G89</f>
        <v>Кран шаровой латунный полнопроходной со спускным элементом, номинальное давление 4,0 МПа, номинальный диаметр 20 мм</v>
      </c>
      <c r="D359" s="44" t="str">
        <f>Source!H89</f>
        <v>ШТ</v>
      </c>
      <c r="E359" s="45">
        <f>SmtRes!AT109</f>
        <v>40</v>
      </c>
      <c r="F359" s="45"/>
      <c r="G359" s="45">
        <f>Source!I89</f>
        <v>2</v>
      </c>
      <c r="H359" s="46">
        <f>Source!AL89+Source!AO89+Source!AM89+Source!AN89</f>
        <v>1138.27</v>
      </c>
      <c r="I359" s="47">
        <f>IF(Source!BC89&lt;&gt;0,Source!BC89,1)</f>
        <v>1.38</v>
      </c>
      <c r="J359" s="46">
        <f>ROUND(H359*I359,2)</f>
        <v>1570.81</v>
      </c>
      <c r="K359" s="47"/>
      <c r="L359" s="46">
        <f>Source!P89</f>
        <v>3141.62</v>
      </c>
      <c r="AD359">
        <f>ROUND((Source!AT89/100)*((ROUND(ROUND(Source!AO89,2)*Source!I89,2)+ROUND(ROUND(Source!AN89,2)*Source!I89,2))),2)</f>
        <v>0</v>
      </c>
      <c r="AE359">
        <f>ROUND((Source!AU89/100)*((ROUND(ROUND(Source!AO89,2)*Source!I89,2)+ROUND(ROUND(Source!AN89,2)*Source!I89,2))),2)</f>
        <v>0</v>
      </c>
      <c r="AN359">
        <f>L359</f>
        <v>3141.62</v>
      </c>
      <c r="AW359">
        <f>L359</f>
        <v>3141.62</v>
      </c>
      <c r="AZ359">
        <f>Source!X89</f>
        <v>0</v>
      </c>
      <c r="BA359">
        <f>Source!Y89</f>
        <v>0</v>
      </c>
      <c r="CD359">
        <v>1</v>
      </c>
    </row>
    <row r="360" spans="1:83" ht="55.2" x14ac:dyDescent="0.25">
      <c r="A360" s="75" t="s">
        <v>279</v>
      </c>
      <c r="B360" s="43" t="str">
        <f>Source!F90</f>
        <v>18.1.09.08-0046</v>
      </c>
      <c r="C360" s="43" t="str">
        <f>Source!G90</f>
        <v>Кран шаровой латунный полнопроходной со спускным элементом, номинальное давление 4,0 МПа, номинальный диаметр 50 мм</v>
      </c>
      <c r="D360" s="44" t="str">
        <f>Source!H90</f>
        <v>ШТ</v>
      </c>
      <c r="E360" s="45">
        <f>SmtRes!AT110</f>
        <v>60</v>
      </c>
      <c r="F360" s="45"/>
      <c r="G360" s="45">
        <f>Source!I90</f>
        <v>3</v>
      </c>
      <c r="H360" s="46">
        <f>Source!AL90+Source!AO90+Source!AM90+Source!AN90</f>
        <v>4468.97</v>
      </c>
      <c r="I360" s="47">
        <f>IF(Source!BC90&lt;&gt;0,Source!BC90,1)</f>
        <v>1.38</v>
      </c>
      <c r="J360" s="46">
        <f>ROUND(H360*I360,2)</f>
        <v>6167.18</v>
      </c>
      <c r="K360" s="47"/>
      <c r="L360" s="46">
        <f>Source!P90</f>
        <v>18501.54</v>
      </c>
      <c r="AD360">
        <f>ROUND((Source!AT90/100)*((ROUND(ROUND(Source!AO90,2)*Source!I90,2)+ROUND(ROUND(Source!AN90,2)*Source!I90,2))),2)</f>
        <v>0</v>
      </c>
      <c r="AE360">
        <f>ROUND((Source!AU90/100)*((ROUND(ROUND(Source!AO90,2)*Source!I90,2)+ROUND(ROUND(Source!AN90,2)*Source!I90,2))),2)</f>
        <v>0</v>
      </c>
      <c r="AN360">
        <f>L360</f>
        <v>18501.54</v>
      </c>
      <c r="AW360">
        <f>L360</f>
        <v>18501.54</v>
      </c>
      <c r="AZ360">
        <f>Source!X90</f>
        <v>0</v>
      </c>
      <c r="BA360">
        <f>Source!Y90</f>
        <v>0</v>
      </c>
      <c r="CD360">
        <v>1</v>
      </c>
    </row>
    <row r="361" spans="1:83" ht="27.6" x14ac:dyDescent="0.25">
      <c r="A361" s="75" t="s">
        <v>280</v>
      </c>
      <c r="B361" s="43" t="str">
        <f>Source!F91</f>
        <v>999-9899</v>
      </c>
      <c r="C361" s="43" t="str">
        <f>Source!G91</f>
        <v>Строительный мусор и масса возвратных материалов</v>
      </c>
      <c r="D361" s="44" t="str">
        <f>Source!H91</f>
        <v>т</v>
      </c>
      <c r="E361" s="45">
        <f>SmtRes!AT111</f>
        <v>1.8</v>
      </c>
      <c r="F361" s="45"/>
      <c r="G361" s="45">
        <f>Source!I91</f>
        <v>0.09</v>
      </c>
      <c r="H361" s="46">
        <f>Source!AL91+Source!AO91+Source!AM91+Source!AN91</f>
        <v>0</v>
      </c>
      <c r="I361" s="47"/>
      <c r="J361" s="46"/>
      <c r="K361" s="47"/>
      <c r="L361" s="46">
        <f>Source!P91</f>
        <v>0</v>
      </c>
      <c r="AD361">
        <f>ROUND((Source!AT91/100)*((ROUND(ROUND(Source!AO91,2)*Source!I91,2)+ROUND(ROUND(Source!AN91,2)*Source!I91,2))),2)</f>
        <v>0</v>
      </c>
      <c r="AE361">
        <f>ROUND((Source!AU91/100)*((ROUND(ROUND(Source!AO91,2)*Source!I91,2)+ROUND(ROUND(Source!AN91,2)*Source!I91,2))),2)</f>
        <v>0</v>
      </c>
      <c r="AN361">
        <f>L361</f>
        <v>0</v>
      </c>
      <c r="AW361">
        <f>L361</f>
        <v>0</v>
      </c>
      <c r="AZ361">
        <f>Source!X91</f>
        <v>0</v>
      </c>
      <c r="BA361">
        <f>Source!Y91</f>
        <v>0</v>
      </c>
      <c r="CD361">
        <v>1</v>
      </c>
    </row>
    <row r="362" spans="1:83" ht="14.4" x14ac:dyDescent="0.25">
      <c r="A362" s="43"/>
      <c r="B362" s="43"/>
      <c r="C362" s="43" t="s">
        <v>71</v>
      </c>
      <c r="D362" s="44"/>
      <c r="E362" s="45"/>
      <c r="F362" s="45"/>
      <c r="G362" s="45"/>
      <c r="H362" s="46"/>
      <c r="I362" s="47"/>
      <c r="J362" s="46"/>
      <c r="K362" s="47"/>
      <c r="L362" s="46">
        <f>SUM(AR346:AR365)+SUM(AS346:AS365)+SUM(AT346:AT365)+SUM(AU346:AU365)+SUM(AV346:AV365)</f>
        <v>10554.86</v>
      </c>
    </row>
    <row r="363" spans="1:83" ht="41.4" x14ac:dyDescent="0.25">
      <c r="A363" s="43"/>
      <c r="B363" s="43" t="s">
        <v>90</v>
      </c>
      <c r="C363" s="43" t="s">
        <v>91</v>
      </c>
      <c r="D363" s="44" t="s">
        <v>74</v>
      </c>
      <c r="E363" s="45">
        <f>Source!BZ88</f>
        <v>103</v>
      </c>
      <c r="F363" s="45"/>
      <c r="G363" s="45">
        <f>Source!AT88</f>
        <v>103</v>
      </c>
      <c r="H363" s="46"/>
      <c r="I363" s="47"/>
      <c r="J363" s="46"/>
      <c r="K363" s="47"/>
      <c r="L363" s="46">
        <f>SUM(AZ346:AZ365)</f>
        <v>10871.51</v>
      </c>
    </row>
    <row r="364" spans="1:83" ht="41.4" x14ac:dyDescent="0.25">
      <c r="A364" s="52"/>
      <c r="B364" s="52" t="s">
        <v>92</v>
      </c>
      <c r="C364" s="52" t="s">
        <v>93</v>
      </c>
      <c r="D364" s="53" t="s">
        <v>74</v>
      </c>
      <c r="E364" s="54">
        <f>Source!CA88</f>
        <v>52</v>
      </c>
      <c r="F364" s="54"/>
      <c r="G364" s="54">
        <f>Source!AU88</f>
        <v>52</v>
      </c>
      <c r="H364" s="55"/>
      <c r="I364" s="56"/>
      <c r="J364" s="55"/>
      <c r="K364" s="56"/>
      <c r="L364" s="55">
        <f>SUM(BA346:BA365)</f>
        <v>5488.53</v>
      </c>
    </row>
    <row r="365" spans="1:83" ht="13.8" x14ac:dyDescent="0.25">
      <c r="C365" s="103" t="s">
        <v>77</v>
      </c>
      <c r="D365" s="103"/>
      <c r="E365" s="103"/>
      <c r="F365" s="103"/>
      <c r="G365" s="103"/>
      <c r="H365" s="103"/>
      <c r="I365" s="104">
        <f>IF(E346&lt;&gt;0,K365/E346,0)</f>
        <v>992042.2</v>
      </c>
      <c r="J365" s="104"/>
      <c r="K365" s="104">
        <f>L348+L350+L354+L363+L364+L351+SUM(L359:L361)</f>
        <v>49602.11</v>
      </c>
      <c r="L365" s="104"/>
      <c r="AD365">
        <f>ROUND((Source!AT88/100)*((ROUND(SUMIF(SmtRes!AQ104:'SmtRes'!AQ111,"=1",SmtRes!AD104:'SmtRes'!AD111)*Source!I88,2)+ROUND(SUMIF(SmtRes!AQ104:'SmtRes'!AQ111,"=1",SmtRes!AC104:'SmtRes'!AC111)*Source!I88,2))),2)</f>
        <v>72.290000000000006</v>
      </c>
      <c r="AE365">
        <f>ROUND((Source!AU88/100)*((ROUND(SUMIF(SmtRes!AQ104:'SmtRes'!AQ111,"=1",SmtRes!AD104:'SmtRes'!AD111)*Source!I88,2)+ROUND(SUMIF(SmtRes!AQ104:'SmtRes'!AQ111,"=1",SmtRes!AC104:'SmtRes'!AC111)*Source!I88,2))),2)</f>
        <v>36.49</v>
      </c>
      <c r="AN365" s="59">
        <f>L348+L350+L354+L363+L364+L351</f>
        <v>27958.949999999997</v>
      </c>
      <c r="AO365" s="59">
        <f>L350</f>
        <v>51.459999999999994</v>
      </c>
      <c r="AQ365" t="s">
        <v>78</v>
      </c>
      <c r="AR365" s="59">
        <f>L348</f>
        <v>10497.1</v>
      </c>
      <c r="AT365" s="59">
        <f>L351</f>
        <v>57.76</v>
      </c>
      <c r="AV365" t="s">
        <v>78</v>
      </c>
      <c r="AW365" s="59">
        <f>L354</f>
        <v>992.59</v>
      </c>
      <c r="AZ365">
        <f>Source!X88</f>
        <v>10871.51</v>
      </c>
      <c r="BA365">
        <f>Source!Y88</f>
        <v>5488.53</v>
      </c>
      <c r="CD365">
        <v>1</v>
      </c>
    </row>
    <row r="367" spans="1:83" ht="13.8" x14ac:dyDescent="0.25">
      <c r="A367" s="61"/>
      <c r="B367" s="62"/>
      <c r="C367" s="98" t="s">
        <v>171</v>
      </c>
      <c r="D367" s="98"/>
      <c r="E367" s="98"/>
      <c r="F367" s="98"/>
      <c r="G367" s="98"/>
      <c r="H367" s="98"/>
      <c r="I367" s="51"/>
      <c r="J367" s="61"/>
      <c r="K367" s="63"/>
      <c r="L367" s="51">
        <f>L369+L370+L376+L380</f>
        <v>45535.65</v>
      </c>
    </row>
    <row r="368" spans="1:83" ht="13.8" x14ac:dyDescent="0.25">
      <c r="A368" s="64"/>
      <c r="B368" s="65"/>
      <c r="C368" s="101" t="s">
        <v>172</v>
      </c>
      <c r="D368" s="97"/>
      <c r="E368" s="97"/>
      <c r="F368" s="97"/>
      <c r="G368" s="97"/>
      <c r="H368" s="97"/>
      <c r="I368" s="46"/>
      <c r="J368" s="64"/>
      <c r="K368" s="45"/>
      <c r="L368" s="46"/>
    </row>
    <row r="369" spans="1:12" ht="13.8" x14ac:dyDescent="0.25">
      <c r="A369" s="64"/>
      <c r="B369" s="65"/>
      <c r="C369" s="97" t="s">
        <v>173</v>
      </c>
      <c r="D369" s="97"/>
      <c r="E369" s="97"/>
      <c r="F369" s="97"/>
      <c r="G369" s="97"/>
      <c r="H369" s="97"/>
      <c r="I369" s="46"/>
      <c r="J369" s="64"/>
      <c r="K369" s="45"/>
      <c r="L369" s="46">
        <f>SUM(AR224:AR365)</f>
        <v>15745.64</v>
      </c>
    </row>
    <row r="370" spans="1:12" ht="13.8" hidden="1" x14ac:dyDescent="0.25">
      <c r="A370" s="64"/>
      <c r="B370" s="65"/>
      <c r="C370" s="97" t="s">
        <v>174</v>
      </c>
      <c r="D370" s="97"/>
      <c r="E370" s="97"/>
      <c r="F370" s="97"/>
      <c r="G370" s="97"/>
      <c r="H370" s="97"/>
      <c r="I370" s="46"/>
      <c r="J370" s="64"/>
      <c r="K370" s="45"/>
      <c r="L370" s="46">
        <f>L372+L375+L374</f>
        <v>168.91</v>
      </c>
    </row>
    <row r="371" spans="1:12" ht="13.8" hidden="1" x14ac:dyDescent="0.25">
      <c r="A371" s="64"/>
      <c r="B371" s="65"/>
      <c r="C371" s="101" t="s">
        <v>175</v>
      </c>
      <c r="D371" s="97"/>
      <c r="E371" s="97"/>
      <c r="F371" s="97"/>
      <c r="G371" s="97"/>
      <c r="H371" s="97"/>
      <c r="I371" s="46"/>
      <c r="J371" s="64"/>
      <c r="K371" s="45"/>
      <c r="L371" s="46"/>
    </row>
    <row r="372" spans="1:12" ht="13.8" x14ac:dyDescent="0.25">
      <c r="A372" s="64"/>
      <c r="B372" s="65"/>
      <c r="C372" s="97" t="s">
        <v>174</v>
      </c>
      <c r="D372" s="97"/>
      <c r="E372" s="97"/>
      <c r="F372" s="97"/>
      <c r="G372" s="97"/>
      <c r="H372" s="97"/>
      <c r="I372" s="46"/>
      <c r="J372" s="64"/>
      <c r="K372" s="45"/>
      <c r="L372" s="46">
        <f>SUM(AO224:AO365)</f>
        <v>87</v>
      </c>
    </row>
    <row r="373" spans="1:12" ht="13.8" hidden="1" x14ac:dyDescent="0.25">
      <c r="A373" s="64"/>
      <c r="B373" s="65"/>
      <c r="C373" s="101" t="s">
        <v>176</v>
      </c>
      <c r="D373" s="97"/>
      <c r="E373" s="97"/>
      <c r="F373" s="97"/>
      <c r="G373" s="97"/>
      <c r="H373" s="97"/>
      <c r="I373" s="46"/>
      <c r="J373" s="64"/>
      <c r="K373" s="45"/>
      <c r="L373" s="46"/>
    </row>
    <row r="374" spans="1:12" ht="13.8" x14ac:dyDescent="0.25">
      <c r="A374" s="64"/>
      <c r="B374" s="65"/>
      <c r="C374" s="97" t="s">
        <v>177</v>
      </c>
      <c r="D374" s="97"/>
      <c r="E374" s="97"/>
      <c r="F374" s="97"/>
      <c r="G374" s="97"/>
      <c r="H374" s="97"/>
      <c r="I374" s="46"/>
      <c r="J374" s="64"/>
      <c r="K374" s="45"/>
      <c r="L374" s="46">
        <f>SUM(AT224:AT365)</f>
        <v>81.91</v>
      </c>
    </row>
    <row r="375" spans="1:12" ht="13.8" hidden="1" x14ac:dyDescent="0.25">
      <c r="A375" s="64"/>
      <c r="B375" s="65"/>
      <c r="C375" s="97" t="s">
        <v>178</v>
      </c>
      <c r="D375" s="97"/>
      <c r="E375" s="97"/>
      <c r="F375" s="97"/>
      <c r="G375" s="97"/>
      <c r="H375" s="97"/>
      <c r="I375" s="46"/>
      <c r="J375" s="64"/>
      <c r="K375" s="45"/>
      <c r="L375" s="46">
        <f>SUM(AV224:AV365)</f>
        <v>0</v>
      </c>
    </row>
    <row r="376" spans="1:12" ht="13.8" x14ac:dyDescent="0.25">
      <c r="A376" s="64"/>
      <c r="B376" s="65"/>
      <c r="C376" s="97" t="s">
        <v>179</v>
      </c>
      <c r="D376" s="97"/>
      <c r="E376" s="97"/>
      <c r="F376" s="97"/>
      <c r="G376" s="97"/>
      <c r="H376" s="97"/>
      <c r="I376" s="46"/>
      <c r="J376" s="64"/>
      <c r="K376" s="45"/>
      <c r="L376" s="46">
        <f>L378+L379</f>
        <v>29621.100000000002</v>
      </c>
    </row>
    <row r="377" spans="1:12" ht="13.8" x14ac:dyDescent="0.25">
      <c r="A377" s="64"/>
      <c r="B377" s="65"/>
      <c r="C377" s="101" t="s">
        <v>175</v>
      </c>
      <c r="D377" s="97"/>
      <c r="E377" s="97"/>
      <c r="F377" s="97"/>
      <c r="G377" s="97"/>
      <c r="H377" s="97"/>
      <c r="I377" s="46"/>
      <c r="J377" s="64"/>
      <c r="K377" s="45"/>
      <c r="L377" s="46"/>
    </row>
    <row r="378" spans="1:12" ht="13.8" x14ac:dyDescent="0.25">
      <c r="A378" s="64"/>
      <c r="B378" s="65"/>
      <c r="C378" s="97" t="s">
        <v>180</v>
      </c>
      <c r="D378" s="97"/>
      <c r="E378" s="97"/>
      <c r="F378" s="97"/>
      <c r="G378" s="97"/>
      <c r="H378" s="97"/>
      <c r="I378" s="46"/>
      <c r="J378" s="64"/>
      <c r="K378" s="45"/>
      <c r="L378" s="46">
        <f>SUM(AW224:AW365)-SUM(BK224:BK365)</f>
        <v>29621.100000000002</v>
      </c>
    </row>
    <row r="379" spans="1:12" ht="13.8" hidden="1" x14ac:dyDescent="0.25">
      <c r="A379" s="64"/>
      <c r="B379" s="65"/>
      <c r="C379" s="97" t="s">
        <v>181</v>
      </c>
      <c r="D379" s="97"/>
      <c r="E379" s="97"/>
      <c r="F379" s="97"/>
      <c r="G379" s="97"/>
      <c r="H379" s="97"/>
      <c r="I379" s="46"/>
      <c r="J379" s="64"/>
      <c r="K379" s="45"/>
      <c r="L379" s="46">
        <f>SUM(BC224:BC365)</f>
        <v>0</v>
      </c>
    </row>
    <row r="380" spans="1:12" ht="13.8" hidden="1" x14ac:dyDescent="0.25">
      <c r="A380" s="64"/>
      <c r="B380" s="65"/>
      <c r="C380" s="97" t="s">
        <v>182</v>
      </c>
      <c r="D380" s="97"/>
      <c r="E380" s="97"/>
      <c r="F380" s="97"/>
      <c r="G380" s="97"/>
      <c r="H380" s="97"/>
      <c r="I380" s="46"/>
      <c r="J380" s="64"/>
      <c r="K380" s="45"/>
      <c r="L380" s="46">
        <f>SUM(BB224:BB365)</f>
        <v>0</v>
      </c>
    </row>
    <row r="381" spans="1:12" ht="13.8" x14ac:dyDescent="0.25">
      <c r="A381" s="64"/>
      <c r="B381" s="65"/>
      <c r="C381" s="97" t="s">
        <v>183</v>
      </c>
      <c r="D381" s="97"/>
      <c r="E381" s="97"/>
      <c r="F381" s="97"/>
      <c r="G381" s="97"/>
      <c r="H381" s="97"/>
      <c r="I381" s="46"/>
      <c r="J381" s="64"/>
      <c r="K381" s="45"/>
      <c r="L381" s="46">
        <f>SUM(AR224:AR365)+SUM(AT224:AT365)+SUM(AV224:AV365)</f>
        <v>15827.55</v>
      </c>
    </row>
    <row r="382" spans="1:12" ht="13.8" x14ac:dyDescent="0.25">
      <c r="A382" s="64"/>
      <c r="B382" s="65"/>
      <c r="C382" s="97" t="s">
        <v>184</v>
      </c>
      <c r="D382" s="97"/>
      <c r="E382" s="97"/>
      <c r="F382" s="97"/>
      <c r="G382" s="97"/>
      <c r="H382" s="97"/>
      <c r="I382" s="46"/>
      <c r="J382" s="64"/>
      <c r="K382" s="45"/>
      <c r="L382" s="46">
        <f>SUM(AZ224:AZ365)</f>
        <v>16056.43</v>
      </c>
    </row>
    <row r="383" spans="1:12" ht="13.8" x14ac:dyDescent="0.25">
      <c r="A383" s="64"/>
      <c r="B383" s="65"/>
      <c r="C383" s="97" t="s">
        <v>185</v>
      </c>
      <c r="D383" s="97"/>
      <c r="E383" s="97"/>
      <c r="F383" s="97"/>
      <c r="G383" s="97"/>
      <c r="H383" s="97"/>
      <c r="I383" s="46"/>
      <c r="J383" s="64"/>
      <c r="K383" s="45"/>
      <c r="L383" s="46">
        <f>SUM(BA224:BA365)</f>
        <v>8029.12</v>
      </c>
    </row>
    <row r="384" spans="1:12" ht="13.8" hidden="1" x14ac:dyDescent="0.25">
      <c r="A384" s="64"/>
      <c r="B384" s="65"/>
      <c r="C384" s="97" t="s">
        <v>186</v>
      </c>
      <c r="D384" s="97"/>
      <c r="E384" s="97"/>
      <c r="F384" s="97"/>
      <c r="G384" s="97"/>
      <c r="H384" s="97"/>
      <c r="I384" s="46"/>
      <c r="J384" s="64"/>
      <c r="K384" s="45"/>
      <c r="L384" s="46">
        <f>L386+L387</f>
        <v>0</v>
      </c>
    </row>
    <row r="385" spans="1:12" ht="13.8" hidden="1" x14ac:dyDescent="0.25">
      <c r="A385" s="64"/>
      <c r="B385" s="65"/>
      <c r="C385" s="101" t="s">
        <v>172</v>
      </c>
      <c r="D385" s="97"/>
      <c r="E385" s="97"/>
      <c r="F385" s="97"/>
      <c r="G385" s="97"/>
      <c r="H385" s="97"/>
      <c r="I385" s="46"/>
      <c r="J385" s="64"/>
      <c r="K385" s="45"/>
      <c r="L385" s="46"/>
    </row>
    <row r="386" spans="1:12" ht="13.8" hidden="1" x14ac:dyDescent="0.25">
      <c r="A386" s="64"/>
      <c r="B386" s="65"/>
      <c r="C386" s="97" t="s">
        <v>187</v>
      </c>
      <c r="D386" s="97"/>
      <c r="E386" s="97"/>
      <c r="F386" s="97"/>
      <c r="G386" s="97"/>
      <c r="H386" s="97"/>
      <c r="I386" s="46"/>
      <c r="J386" s="64"/>
      <c r="K386" s="45"/>
      <c r="L386" s="46">
        <f>SUM(BK224:BK365)</f>
        <v>0</v>
      </c>
    </row>
    <row r="387" spans="1:12" ht="13.8" hidden="1" x14ac:dyDescent="0.25">
      <c r="A387" s="64"/>
      <c r="B387" s="65"/>
      <c r="C387" s="97" t="s">
        <v>188</v>
      </c>
      <c r="D387" s="97"/>
      <c r="E387" s="97"/>
      <c r="F387" s="97"/>
      <c r="G387" s="97"/>
      <c r="H387" s="97"/>
      <c r="I387" s="46"/>
      <c r="J387" s="64"/>
      <c r="K387" s="45"/>
      <c r="L387" s="46">
        <f>SUM(BD224:BD365)</f>
        <v>0</v>
      </c>
    </row>
    <row r="388" spans="1:12" ht="13.8" hidden="1" x14ac:dyDescent="0.25">
      <c r="A388" s="64"/>
      <c r="B388" s="65"/>
      <c r="C388" s="97" t="s">
        <v>189</v>
      </c>
      <c r="D388" s="97"/>
      <c r="E388" s="97"/>
      <c r="F388" s="97"/>
      <c r="G388" s="97"/>
      <c r="H388" s="97"/>
      <c r="I388" s="46"/>
      <c r="J388" s="64"/>
      <c r="K388" s="45"/>
      <c r="L388" s="46"/>
    </row>
    <row r="389" spans="1:12" ht="13.8" hidden="1" x14ac:dyDescent="0.25">
      <c r="A389" s="64"/>
      <c r="B389" s="65"/>
      <c r="C389" s="97" t="s">
        <v>189</v>
      </c>
      <c r="D389" s="97"/>
      <c r="E389" s="97"/>
      <c r="F389" s="97"/>
      <c r="G389" s="97"/>
      <c r="H389" s="97"/>
      <c r="I389" s="46"/>
      <c r="J389" s="64"/>
      <c r="K389" s="45"/>
      <c r="L389" s="46">
        <f>SUM(BQ224:BQ365)</f>
        <v>0</v>
      </c>
    </row>
    <row r="390" spans="1:12" ht="13.8" hidden="1" x14ac:dyDescent="0.25">
      <c r="A390" s="64"/>
      <c r="B390" s="65"/>
      <c r="C390" s="97" t="s">
        <v>190</v>
      </c>
      <c r="D390" s="97"/>
      <c r="E390" s="97"/>
      <c r="F390" s="97"/>
      <c r="G390" s="97"/>
      <c r="H390" s="97"/>
      <c r="I390" s="46"/>
      <c r="J390" s="64"/>
      <c r="K390" s="45"/>
      <c r="L390" s="46">
        <f>SUM(BO224:BO365)</f>
        <v>0</v>
      </c>
    </row>
    <row r="391" spans="1:12" ht="13.8" x14ac:dyDescent="0.25">
      <c r="A391" s="61"/>
      <c r="B391" s="62"/>
      <c r="C391" s="98" t="s">
        <v>191</v>
      </c>
      <c r="D391" s="98"/>
      <c r="E391" s="98"/>
      <c r="F391" s="98"/>
      <c r="G391" s="98"/>
      <c r="H391" s="98"/>
      <c r="I391" s="51"/>
      <c r="J391" s="61"/>
      <c r="K391" s="63"/>
      <c r="L391" s="51">
        <f>L367+L382+L383+L384+L389+L390</f>
        <v>69621.2</v>
      </c>
    </row>
    <row r="392" spans="1:12" ht="13.8" x14ac:dyDescent="0.25">
      <c r="A392" s="64"/>
      <c r="B392" s="65"/>
      <c r="C392" s="101" t="s">
        <v>192</v>
      </c>
      <c r="D392" s="97"/>
      <c r="E392" s="97"/>
      <c r="F392" s="97"/>
      <c r="G392" s="97"/>
      <c r="H392" s="97"/>
      <c r="I392" s="46"/>
      <c r="J392" s="64"/>
      <c r="K392" s="45"/>
      <c r="L392" s="46"/>
    </row>
    <row r="393" spans="1:12" ht="13.8" hidden="1" x14ac:dyDescent="0.25">
      <c r="A393" s="64"/>
      <c r="B393" s="65"/>
      <c r="C393" s="97" t="s">
        <v>193</v>
      </c>
      <c r="D393" s="97"/>
      <c r="E393" s="97"/>
      <c r="F393" s="97"/>
      <c r="G393" s="97"/>
      <c r="H393" s="97"/>
      <c r="I393" s="46"/>
      <c r="J393" s="64"/>
      <c r="K393" s="45"/>
      <c r="L393" s="46">
        <f>SUM(AX224:AX365)</f>
        <v>0</v>
      </c>
    </row>
    <row r="394" spans="1:12" ht="13.8" hidden="1" x14ac:dyDescent="0.25">
      <c r="A394" s="64"/>
      <c r="B394" s="65"/>
      <c r="C394" s="97" t="s">
        <v>194</v>
      </c>
      <c r="D394" s="97"/>
      <c r="E394" s="97"/>
      <c r="F394" s="97"/>
      <c r="G394" s="97"/>
      <c r="H394" s="97"/>
      <c r="I394" s="46"/>
      <c r="J394" s="64"/>
      <c r="K394" s="45"/>
      <c r="L394" s="46">
        <f>SUM(AY224:AY365)</f>
        <v>0</v>
      </c>
    </row>
    <row r="395" spans="1:12" ht="13.8" x14ac:dyDescent="0.25">
      <c r="A395" s="64"/>
      <c r="B395" s="65"/>
      <c r="C395" s="97" t="s">
        <v>195</v>
      </c>
      <c r="D395" s="97"/>
      <c r="E395" s="97"/>
      <c r="F395" s="99"/>
      <c r="G395" s="50">
        <f>Source!F115</f>
        <v>22.923539999999999</v>
      </c>
      <c r="H395" s="64"/>
      <c r="I395" s="64"/>
      <c r="J395" s="64"/>
      <c r="K395" s="64"/>
      <c r="L395" s="64"/>
    </row>
    <row r="396" spans="1:12" ht="13.8" x14ac:dyDescent="0.25">
      <c r="A396" s="64"/>
      <c r="B396" s="65"/>
      <c r="C396" s="97" t="s">
        <v>196</v>
      </c>
      <c r="D396" s="97"/>
      <c r="E396" s="97"/>
      <c r="F396" s="99"/>
      <c r="G396" s="50">
        <f>Source!F116</f>
        <v>0.1134</v>
      </c>
      <c r="H396" s="64"/>
      <c r="I396" s="64"/>
      <c r="J396" s="64"/>
      <c r="K396" s="64"/>
      <c r="L396" s="64"/>
    </row>
    <row r="399" spans="1:12" ht="16.8" x14ac:dyDescent="0.25">
      <c r="A399" s="105" t="s">
        <v>281</v>
      </c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</row>
    <row r="400" spans="1:12" ht="27.6" x14ac:dyDescent="0.25">
      <c r="A400" s="75" t="s">
        <v>282</v>
      </c>
      <c r="B400" s="43" t="s">
        <v>283</v>
      </c>
      <c r="C400" s="43" t="str">
        <f>Source!G127</f>
        <v>Смена внутренних трубопроводов из стальных труб диаметром: до 65 мм</v>
      </c>
      <c r="D400" s="44" t="str">
        <f>Source!H127</f>
        <v>100 м</v>
      </c>
      <c r="E400" s="45">
        <f>Source!K127</f>
        <v>0.02</v>
      </c>
      <c r="F400" s="45"/>
      <c r="G400" s="45">
        <f>Source!I127</f>
        <v>0.02</v>
      </c>
      <c r="H400" s="46"/>
      <c r="I400" s="47"/>
      <c r="J400" s="46"/>
      <c r="K400" s="47"/>
      <c r="L400" s="46"/>
    </row>
    <row r="401" spans="1:83" x14ac:dyDescent="0.25">
      <c r="C401" s="48" t="str">
        <f>"Объем: "&amp;Source!I127&amp;"=2/"&amp;"100"</f>
        <v>Объем: 0,02=2/100</v>
      </c>
    </row>
    <row r="402" spans="1:83" ht="14.4" x14ac:dyDescent="0.25">
      <c r="A402" s="49"/>
      <c r="B402" s="45">
        <v>1</v>
      </c>
      <c r="C402" s="49" t="s">
        <v>52</v>
      </c>
      <c r="D402" s="44" t="s">
        <v>31</v>
      </c>
      <c r="E402" s="50"/>
      <c r="F402" s="45"/>
      <c r="G402" s="45">
        <f>Source!U127</f>
        <v>3.17</v>
      </c>
      <c r="H402" s="45"/>
      <c r="I402" s="45"/>
      <c r="J402" s="45"/>
      <c r="K402" s="45"/>
      <c r="L402" s="51">
        <f>SUM(L403:L403)-SUMIF(CE403:CE403,1,L403:L403)</f>
        <v>2288.9</v>
      </c>
    </row>
    <row r="403" spans="1:83" ht="14.4" x14ac:dyDescent="0.25">
      <c r="A403" s="43"/>
      <c r="B403" s="43" t="s">
        <v>96</v>
      </c>
      <c r="C403" s="43" t="s">
        <v>97</v>
      </c>
      <c r="D403" s="44" t="s">
        <v>31</v>
      </c>
      <c r="E403" s="45">
        <v>158.5</v>
      </c>
      <c r="F403" s="45"/>
      <c r="G403" s="45">
        <f>SmtRes!CX112</f>
        <v>3.17</v>
      </c>
      <c r="H403" s="46"/>
      <c r="I403" s="47"/>
      <c r="J403" s="46">
        <f>SmtRes!CZ112</f>
        <v>722.05</v>
      </c>
      <c r="K403" s="47"/>
      <c r="L403" s="46">
        <f>SmtRes!DI112</f>
        <v>2288.9</v>
      </c>
    </row>
    <row r="404" spans="1:83" ht="14.4" x14ac:dyDescent="0.25">
      <c r="A404" s="49"/>
      <c r="B404" s="45">
        <v>2</v>
      </c>
      <c r="C404" s="49" t="s">
        <v>55</v>
      </c>
      <c r="D404" s="44"/>
      <c r="E404" s="50"/>
      <c r="F404" s="45"/>
      <c r="G404" s="45"/>
      <c r="H404" s="45"/>
      <c r="I404" s="45"/>
      <c r="J404" s="45"/>
      <c r="K404" s="45"/>
      <c r="L404" s="51">
        <f>SUM(L405:L411)-SUMIF(CE405:CE411,1,L405:L411)</f>
        <v>22.700000000000003</v>
      </c>
    </row>
    <row r="405" spans="1:83" ht="14.4" x14ac:dyDescent="0.25">
      <c r="A405" s="49"/>
      <c r="B405" s="45"/>
      <c r="C405" s="49" t="s">
        <v>56</v>
      </c>
      <c r="D405" s="44" t="s">
        <v>31</v>
      </c>
      <c r="E405" s="50"/>
      <c r="F405" s="45"/>
      <c r="G405" s="45">
        <f>Source!V127</f>
        <v>1.44E-2</v>
      </c>
      <c r="H405" s="45"/>
      <c r="I405" s="45"/>
      <c r="J405" s="45"/>
      <c r="K405" s="45"/>
      <c r="L405" s="51">
        <f>SUMIF(CE406:CE411,1,L406:L411)</f>
        <v>9.82</v>
      </c>
      <c r="CE405">
        <v>1</v>
      </c>
    </row>
    <row r="406" spans="1:83" ht="41.4" x14ac:dyDescent="0.25">
      <c r="A406" s="43"/>
      <c r="B406" s="43" t="s">
        <v>57</v>
      </c>
      <c r="C406" s="43" t="s">
        <v>58</v>
      </c>
      <c r="D406" s="44" t="s">
        <v>59</v>
      </c>
      <c r="E406" s="45">
        <v>0.36</v>
      </c>
      <c r="F406" s="45"/>
      <c r="G406" s="45">
        <f>SmtRes!CX114</f>
        <v>7.1999999999999998E-3</v>
      </c>
      <c r="H406" s="46">
        <f>SmtRes!CZ114</f>
        <v>37.32</v>
      </c>
      <c r="I406" s="47">
        <f>SmtRes!AJ114</f>
        <v>1.54</v>
      </c>
      <c r="J406" s="46">
        <f>ROUND(H406*I406,2)</f>
        <v>57.47</v>
      </c>
      <c r="K406" s="47"/>
      <c r="L406" s="46">
        <f>SmtRes!DG114</f>
        <v>0.41</v>
      </c>
    </row>
    <row r="407" spans="1:83" ht="14.4" x14ac:dyDescent="0.25">
      <c r="A407" s="43"/>
      <c r="B407" s="43" t="s">
        <v>60</v>
      </c>
      <c r="C407" s="43" t="s">
        <v>61</v>
      </c>
      <c r="D407" s="44" t="s">
        <v>31</v>
      </c>
      <c r="E407" s="45">
        <f>SmtRes!DO114*SmtRes!AT114</f>
        <v>0.36</v>
      </c>
      <c r="F407" s="45"/>
      <c r="G407" s="45">
        <f>ROUND(E407*G400,7)</f>
        <v>7.1999999999999998E-3</v>
      </c>
      <c r="H407" s="46"/>
      <c r="I407" s="47"/>
      <c r="J407" s="46">
        <f>ROUND(SmtRes!AG114/SmtRes!DO114,2)</f>
        <v>641.22</v>
      </c>
      <c r="K407" s="47"/>
      <c r="L407" s="46">
        <f>SmtRes!DH114</f>
        <v>4.62</v>
      </c>
      <c r="CE407">
        <v>1</v>
      </c>
    </row>
    <row r="408" spans="1:83" ht="27.6" x14ac:dyDescent="0.25">
      <c r="A408" s="43"/>
      <c r="B408" s="43" t="s">
        <v>62</v>
      </c>
      <c r="C408" s="43" t="s">
        <v>63</v>
      </c>
      <c r="D408" s="44" t="s">
        <v>59</v>
      </c>
      <c r="E408" s="45">
        <v>0.36</v>
      </c>
      <c r="F408" s="45"/>
      <c r="G408" s="45">
        <f>SmtRes!CX115</f>
        <v>7.1999999999999998E-3</v>
      </c>
      <c r="H408" s="46"/>
      <c r="I408" s="47"/>
      <c r="J408" s="46">
        <f>SmtRes!CZ115</f>
        <v>643.29</v>
      </c>
      <c r="K408" s="47"/>
      <c r="L408" s="46">
        <f>SmtRes!DG115</f>
        <v>4.63</v>
      </c>
    </row>
    <row r="409" spans="1:83" ht="14.4" x14ac:dyDescent="0.25">
      <c r="A409" s="43"/>
      <c r="B409" s="43" t="s">
        <v>64</v>
      </c>
      <c r="C409" s="43" t="s">
        <v>65</v>
      </c>
      <c r="D409" s="44" t="s">
        <v>31</v>
      </c>
      <c r="E409" s="45">
        <f>SmtRes!DO115*SmtRes!AT115</f>
        <v>0.36</v>
      </c>
      <c r="F409" s="45"/>
      <c r="G409" s="45">
        <f>ROUND(E409*G400,7)</f>
        <v>7.1999999999999998E-3</v>
      </c>
      <c r="H409" s="46"/>
      <c r="I409" s="47"/>
      <c r="J409" s="46">
        <f>ROUND(SmtRes!AG115/SmtRes!DO115,2)</f>
        <v>722.05</v>
      </c>
      <c r="K409" s="47"/>
      <c r="L409" s="46">
        <f>SmtRes!DH115</f>
        <v>5.2</v>
      </c>
      <c r="CE409">
        <v>1</v>
      </c>
    </row>
    <row r="410" spans="1:83" ht="14.4" x14ac:dyDescent="0.25">
      <c r="A410" s="43"/>
      <c r="B410" s="43" t="s">
        <v>98</v>
      </c>
      <c r="C410" s="43" t="s">
        <v>99</v>
      </c>
      <c r="D410" s="44" t="s">
        <v>59</v>
      </c>
      <c r="E410" s="45">
        <v>8.9</v>
      </c>
      <c r="F410" s="45"/>
      <c r="G410" s="45">
        <f>SmtRes!CX116</f>
        <v>0.17799999999999999</v>
      </c>
      <c r="H410" s="46">
        <f>SmtRes!CZ116</f>
        <v>4.3499999999999996</v>
      </c>
      <c r="I410" s="47">
        <f>SmtRes!AJ116</f>
        <v>1.23</v>
      </c>
      <c r="J410" s="46">
        <f>ROUND(H410*I410,2)</f>
        <v>5.35</v>
      </c>
      <c r="K410" s="47"/>
      <c r="L410" s="46">
        <f>SmtRes!DG116</f>
        <v>0.95</v>
      </c>
    </row>
    <row r="411" spans="1:83" ht="27.6" x14ac:dyDescent="0.25">
      <c r="A411" s="43"/>
      <c r="B411" s="43" t="s">
        <v>100</v>
      </c>
      <c r="C411" s="43" t="s">
        <v>101</v>
      </c>
      <c r="D411" s="44" t="s">
        <v>59</v>
      </c>
      <c r="E411" s="45">
        <v>25.9</v>
      </c>
      <c r="F411" s="45"/>
      <c r="G411" s="45">
        <f>SmtRes!CX117</f>
        <v>0.51800000000000002</v>
      </c>
      <c r="H411" s="46"/>
      <c r="I411" s="47"/>
      <c r="J411" s="46">
        <f>SmtRes!CZ117</f>
        <v>32.26</v>
      </c>
      <c r="K411" s="47"/>
      <c r="L411" s="46">
        <f>SmtRes!DG117</f>
        <v>16.71</v>
      </c>
    </row>
    <row r="412" spans="1:83" ht="14.4" x14ac:dyDescent="0.25">
      <c r="A412" s="49"/>
      <c r="B412" s="45">
        <v>4</v>
      </c>
      <c r="C412" s="49" t="s">
        <v>66</v>
      </c>
      <c r="D412" s="44"/>
      <c r="E412" s="50"/>
      <c r="F412" s="45"/>
      <c r="G412" s="45"/>
      <c r="H412" s="45"/>
      <c r="I412" s="45"/>
      <c r="J412" s="45"/>
      <c r="K412" s="45"/>
      <c r="L412" s="51">
        <f>SUM(L413:L416)-SUMIF(CE413:CE416,1,L413:L416)</f>
        <v>42.6</v>
      </c>
    </row>
    <row r="413" spans="1:83" ht="14.4" x14ac:dyDescent="0.25">
      <c r="A413" s="43"/>
      <c r="B413" s="43" t="s">
        <v>102</v>
      </c>
      <c r="C413" s="43" t="s">
        <v>103</v>
      </c>
      <c r="D413" s="44" t="s">
        <v>104</v>
      </c>
      <c r="E413" s="45">
        <v>2.0499999999999998</v>
      </c>
      <c r="F413" s="45"/>
      <c r="G413" s="45">
        <f>SmtRes!CX118</f>
        <v>4.1000000000000002E-2</v>
      </c>
      <c r="H413" s="46">
        <f>SmtRes!CZ118</f>
        <v>340.41</v>
      </c>
      <c r="I413" s="47">
        <f>SmtRes!AI118</f>
        <v>1.5</v>
      </c>
      <c r="J413" s="46">
        <f>ROUND(H413*I413,2)</f>
        <v>510.62</v>
      </c>
      <c r="K413" s="47"/>
      <c r="L413" s="46">
        <f>SmtRes!DF118</f>
        <v>20.94</v>
      </c>
    </row>
    <row r="414" spans="1:83" ht="14.4" x14ac:dyDescent="0.25">
      <c r="A414" s="43"/>
      <c r="B414" s="43" t="s">
        <v>105</v>
      </c>
      <c r="C414" s="43" t="s">
        <v>106</v>
      </c>
      <c r="D414" s="44" t="s">
        <v>104</v>
      </c>
      <c r="E414" s="45">
        <v>2.52</v>
      </c>
      <c r="F414" s="45"/>
      <c r="G414" s="45">
        <f>SmtRes!CX119</f>
        <v>5.04E-2</v>
      </c>
      <c r="H414" s="46">
        <f>SmtRes!CZ119</f>
        <v>114.64</v>
      </c>
      <c r="I414" s="47">
        <f>SmtRes!AI119</f>
        <v>0.85</v>
      </c>
      <c r="J414" s="46">
        <f>ROUND(H414*I414,2)</f>
        <v>97.44</v>
      </c>
      <c r="K414" s="47"/>
      <c r="L414" s="46">
        <f>SmtRes!DF119</f>
        <v>4.91</v>
      </c>
    </row>
    <row r="415" spans="1:83" ht="27.6" x14ac:dyDescent="0.25">
      <c r="A415" s="43"/>
      <c r="B415" s="43" t="s">
        <v>107</v>
      </c>
      <c r="C415" s="43" t="s">
        <v>108</v>
      </c>
      <c r="D415" s="44" t="s">
        <v>87</v>
      </c>
      <c r="E415" s="45">
        <v>1E-3</v>
      </c>
      <c r="F415" s="45"/>
      <c r="G415" s="45">
        <f>SmtRes!CX120</f>
        <v>2.0000000000000002E-5</v>
      </c>
      <c r="H415" s="46">
        <f>SmtRes!CZ120</f>
        <v>97282.880000000005</v>
      </c>
      <c r="I415" s="47">
        <f>SmtRes!AI120</f>
        <v>1.1200000000000001</v>
      </c>
      <c r="J415" s="46">
        <f>ROUND(H415*I415,2)</f>
        <v>108956.83</v>
      </c>
      <c r="K415" s="47"/>
      <c r="L415" s="46">
        <f>SmtRes!DF120</f>
        <v>2.1800000000000002</v>
      </c>
    </row>
    <row r="416" spans="1:83" ht="55.2" x14ac:dyDescent="0.25">
      <c r="A416" s="43"/>
      <c r="B416" s="43" t="s">
        <v>109</v>
      </c>
      <c r="C416" s="43" t="s">
        <v>110</v>
      </c>
      <c r="D416" s="44" t="s">
        <v>111</v>
      </c>
      <c r="E416" s="45">
        <v>6</v>
      </c>
      <c r="F416" s="45"/>
      <c r="G416" s="45">
        <f>SmtRes!CX121</f>
        <v>0.12</v>
      </c>
      <c r="H416" s="46">
        <f>SmtRes!CZ121</f>
        <v>155.63</v>
      </c>
      <c r="I416" s="47">
        <f>SmtRes!AI121</f>
        <v>0.78</v>
      </c>
      <c r="J416" s="46">
        <f>ROUND(H416*I416,2)</f>
        <v>121.39</v>
      </c>
      <c r="K416" s="47"/>
      <c r="L416" s="46">
        <f>SmtRes!DF121</f>
        <v>14.57</v>
      </c>
    </row>
    <row r="417" spans="1:82" ht="14.4" x14ac:dyDescent="0.25">
      <c r="A417" s="43"/>
      <c r="B417" s="43" t="str">
        <f>EtalonRes!I122</f>
        <v>18.1.09.06</v>
      </c>
      <c r="C417" s="43" t="str">
        <f>EtalonRes!K122</f>
        <v>Арматура трубопроводная муфтовая</v>
      </c>
      <c r="D417" s="44" t="str">
        <f>EtalonRes!O122</f>
        <v>ШТ</v>
      </c>
      <c r="E417" s="45">
        <f>EtalonRes!X122</f>
        <v>0</v>
      </c>
      <c r="F417" s="45"/>
      <c r="G417" s="45">
        <f>ROUND(EtalonRes!AG122*Source!I127,7)</f>
        <v>0</v>
      </c>
      <c r="H417" s="46"/>
      <c r="I417" s="47"/>
      <c r="J417" s="46"/>
      <c r="K417" s="47"/>
      <c r="L417" s="46"/>
    </row>
    <row r="418" spans="1:82" ht="14.4" x14ac:dyDescent="0.25">
      <c r="A418" s="43"/>
      <c r="B418" s="43" t="str">
        <f>EtalonRes!I123</f>
        <v>18.2.07.01</v>
      </c>
      <c r="C418" s="43" t="str">
        <f>EtalonRes!K123</f>
        <v>Трубопроводы с гильзами</v>
      </c>
      <c r="D418" s="44" t="str">
        <f>EtalonRes!O123</f>
        <v>м</v>
      </c>
      <c r="E418" s="45">
        <f>EtalonRes!X123</f>
        <v>100</v>
      </c>
      <c r="F418" s="45"/>
      <c r="G418" s="45">
        <f>ROUND(EtalonRes!AG123*Source!I127,7)</f>
        <v>2</v>
      </c>
      <c r="H418" s="46"/>
      <c r="I418" s="47"/>
      <c r="J418" s="46"/>
      <c r="K418" s="47"/>
      <c r="L418" s="46"/>
    </row>
    <row r="419" spans="1:82" ht="14.4" x14ac:dyDescent="0.25">
      <c r="A419" s="43"/>
      <c r="B419" s="43" t="str">
        <f>EtalonRes!I124</f>
        <v>23.1.02.07</v>
      </c>
      <c r="C419" s="52" t="str">
        <f>EtalonRes!K124</f>
        <v>Крепления</v>
      </c>
      <c r="D419" s="53" t="str">
        <f>EtalonRes!O124</f>
        <v>кг</v>
      </c>
      <c r="E419" s="54">
        <f>EtalonRes!X124</f>
        <v>0</v>
      </c>
      <c r="F419" s="54"/>
      <c r="G419" s="54">
        <f>ROUND(EtalonRes!AG124*Source!I127,7)</f>
        <v>0</v>
      </c>
      <c r="H419" s="55"/>
      <c r="I419" s="56"/>
      <c r="J419" s="55"/>
      <c r="K419" s="56"/>
      <c r="L419" s="55"/>
    </row>
    <row r="420" spans="1:82" ht="14.4" x14ac:dyDescent="0.25">
      <c r="A420" s="43"/>
      <c r="B420" s="43"/>
      <c r="C420" s="57" t="s">
        <v>70</v>
      </c>
      <c r="D420" s="44"/>
      <c r="E420" s="45"/>
      <c r="F420" s="45"/>
      <c r="G420" s="45"/>
      <c r="H420" s="46"/>
      <c r="I420" s="47"/>
      <c r="J420" s="46"/>
      <c r="K420" s="47"/>
      <c r="L420" s="46">
        <f>L402+L404+L405+L412</f>
        <v>2364.02</v>
      </c>
    </row>
    <row r="421" spans="1:82" ht="55.2" x14ac:dyDescent="0.25">
      <c r="A421" s="75" t="s">
        <v>284</v>
      </c>
      <c r="B421" s="43" t="str">
        <f>Source!F128</f>
        <v>23.3.06.01-0007</v>
      </c>
      <c r="C421" s="43" t="str">
        <f>Source!G128</f>
        <v>Трубы стальные сварные оцинкованные водогазопроводные с резьбой, легкие, номинальный диаметр 65 мм, толщина стенки 3,2 мм</v>
      </c>
      <c r="D421" s="44" t="str">
        <f>Source!H128</f>
        <v>м</v>
      </c>
      <c r="E421" s="45">
        <f>SmtRes!AT122</f>
        <v>100</v>
      </c>
      <c r="F421" s="45"/>
      <c r="G421" s="45">
        <f>Source!I128</f>
        <v>2</v>
      </c>
      <c r="H421" s="46">
        <f>Source!AL128+Source!AO128+Source!AM128+Source!AN128</f>
        <v>554.29999999999995</v>
      </c>
      <c r="I421" s="47">
        <f>IF(Source!BC128&lt;&gt;0,Source!BC128,1)</f>
        <v>0.8</v>
      </c>
      <c r="J421" s="46">
        <f>ROUND(H421*I421,2)</f>
        <v>443.44</v>
      </c>
      <c r="K421" s="47"/>
      <c r="L421" s="46">
        <f>Source!P128</f>
        <v>886.88</v>
      </c>
      <c r="AD421">
        <f>ROUND((Source!AT128/100)*((ROUND(ROUND(Source!AO128,2)*Source!I128,2)+ROUND(ROUND(Source!AN128,2)*Source!I128,2))),2)</f>
        <v>0</v>
      </c>
      <c r="AE421">
        <f>ROUND((Source!AU128/100)*((ROUND(ROUND(Source!AO128,2)*Source!I128,2)+ROUND(ROUND(Source!AN128,2)*Source!I128,2))),2)</f>
        <v>0</v>
      </c>
      <c r="AN421">
        <f>L421</f>
        <v>886.88</v>
      </c>
      <c r="AW421">
        <f>L421</f>
        <v>886.88</v>
      </c>
      <c r="AZ421">
        <f>Source!X128</f>
        <v>0</v>
      </c>
      <c r="BA421">
        <f>Source!Y128</f>
        <v>0</v>
      </c>
      <c r="CD421">
        <v>1</v>
      </c>
    </row>
    <row r="422" spans="1:82" ht="82.8" x14ac:dyDescent="0.25">
      <c r="A422" s="75" t="s">
        <v>285</v>
      </c>
      <c r="B422" s="43" t="str">
        <f>Source!F129</f>
        <v>24.1.02.01-0020</v>
      </c>
      <c r="C422" s="43" t="str">
        <f>Source!G129</f>
        <v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68 до 73 мм</v>
      </c>
      <c r="D422" s="44" t="str">
        <f>Source!H129</f>
        <v>ШТ</v>
      </c>
      <c r="E422" s="45">
        <f>SmtRes!AT124</f>
        <v>100</v>
      </c>
      <c r="F422" s="45"/>
      <c r="G422" s="45">
        <f>Source!I129</f>
        <v>2</v>
      </c>
      <c r="H422" s="46">
        <f>Source!AL129+Source!AO129+Source!AM129+Source!AN129</f>
        <v>120.97</v>
      </c>
      <c r="I422" s="47">
        <f>IF(Source!BC129&lt;&gt;0,Source!BC129,1)</f>
        <v>1.24</v>
      </c>
      <c r="J422" s="46">
        <f>ROUND(H422*I422,2)</f>
        <v>150</v>
      </c>
      <c r="K422" s="47"/>
      <c r="L422" s="46">
        <f>Source!P129</f>
        <v>300</v>
      </c>
      <c r="AD422">
        <f>ROUND((Source!AT129/100)*((ROUND(ROUND(Source!AO129,2)*Source!I129,2)+ROUND(ROUND(Source!AN129,2)*Source!I129,2))),2)</f>
        <v>0</v>
      </c>
      <c r="AE422">
        <f>ROUND((Source!AU129/100)*((ROUND(ROUND(Source!AO129,2)*Source!I129,2)+ROUND(ROUND(Source!AN129,2)*Source!I129,2))),2)</f>
        <v>0</v>
      </c>
      <c r="AN422">
        <f>L422</f>
        <v>300</v>
      </c>
      <c r="AW422">
        <f>L422</f>
        <v>300</v>
      </c>
      <c r="AZ422">
        <f>Source!X129</f>
        <v>0</v>
      </c>
      <c r="BA422">
        <f>Source!Y129</f>
        <v>0</v>
      </c>
      <c r="CD422">
        <v>1</v>
      </c>
    </row>
    <row r="423" spans="1:82" ht="55.2" x14ac:dyDescent="0.25">
      <c r="A423" s="75" t="s">
        <v>286</v>
      </c>
      <c r="B423" s="43" t="str">
        <f>Source!F130</f>
        <v>23.8.04.06-0068</v>
      </c>
      <c r="C423" s="43" t="str">
        <f>Source!G130</f>
        <v>Отвод 90° с радиусом кривизны R=1,5 Ду на давление до 16 МПа, номинальный диаметр 65 мм, наружный диаметр 76 мм, толщина стенки 6 мм</v>
      </c>
      <c r="D423" s="44" t="str">
        <f>Source!H130</f>
        <v>ШТ</v>
      </c>
      <c r="E423" s="45">
        <f>SmtRes!AT123</f>
        <v>50</v>
      </c>
      <c r="F423" s="45"/>
      <c r="G423" s="45">
        <f>Source!I130</f>
        <v>1</v>
      </c>
      <c r="H423" s="46"/>
      <c r="I423" s="47"/>
      <c r="J423" s="46">
        <f>Source!AK130</f>
        <v>293.27</v>
      </c>
      <c r="K423" s="47"/>
      <c r="L423" s="46">
        <f>Source!P130</f>
        <v>293.27</v>
      </c>
      <c r="AD423">
        <f>ROUND((Source!AT130/100)*((ROUND(ROUND(Source!AO130,2)*Source!I130,2)+ROUND(ROUND(Source!AN130,2)*Source!I130,2))),2)</f>
        <v>0</v>
      </c>
      <c r="AE423">
        <f>ROUND((Source!AU130/100)*((ROUND(ROUND(Source!AO130,2)*Source!I130,2)+ROUND(ROUND(Source!AN130,2)*Source!I130,2))),2)</f>
        <v>0</v>
      </c>
      <c r="AN423">
        <f>L423</f>
        <v>293.27</v>
      </c>
      <c r="AW423">
        <f>L423</f>
        <v>293.27</v>
      </c>
      <c r="AZ423">
        <f>Source!X130</f>
        <v>0</v>
      </c>
      <c r="BA423">
        <f>Source!Y130</f>
        <v>0</v>
      </c>
      <c r="CD423">
        <v>1</v>
      </c>
    </row>
    <row r="424" spans="1:82" ht="14.4" x14ac:dyDescent="0.25">
      <c r="A424" s="43"/>
      <c r="B424" s="43"/>
      <c r="C424" s="43" t="s">
        <v>71</v>
      </c>
      <c r="D424" s="44"/>
      <c r="E424" s="45"/>
      <c r="F424" s="45"/>
      <c r="G424" s="45"/>
      <c r="H424" s="46"/>
      <c r="I424" s="47"/>
      <c r="J424" s="46"/>
      <c r="K424" s="47"/>
      <c r="L424" s="46">
        <f>SUM(AR400:AR427)+SUM(AS400:AS427)+SUM(AT400:AT427)+SUM(AU400:AU427)+SUM(AV400:AV427)</f>
        <v>2298.7200000000003</v>
      </c>
    </row>
    <row r="425" spans="1:82" ht="41.4" x14ac:dyDescent="0.25">
      <c r="A425" s="43"/>
      <c r="B425" s="43" t="s">
        <v>90</v>
      </c>
      <c r="C425" s="43" t="s">
        <v>91</v>
      </c>
      <c r="D425" s="44" t="s">
        <v>74</v>
      </c>
      <c r="E425" s="45">
        <f>Source!BZ127</f>
        <v>103</v>
      </c>
      <c r="F425" s="45"/>
      <c r="G425" s="45">
        <f>Source!AT127</f>
        <v>103</v>
      </c>
      <c r="H425" s="46"/>
      <c r="I425" s="47"/>
      <c r="J425" s="46"/>
      <c r="K425" s="47"/>
      <c r="L425" s="46">
        <f>SUM(AZ400:AZ427)</f>
        <v>2367.6799999999998</v>
      </c>
    </row>
    <row r="426" spans="1:82" ht="41.4" x14ac:dyDescent="0.25">
      <c r="A426" s="52"/>
      <c r="B426" s="52" t="s">
        <v>92</v>
      </c>
      <c r="C426" s="52" t="s">
        <v>93</v>
      </c>
      <c r="D426" s="53" t="s">
        <v>74</v>
      </c>
      <c r="E426" s="54">
        <f>Source!CA127</f>
        <v>52</v>
      </c>
      <c r="F426" s="54"/>
      <c r="G426" s="54">
        <f>Source!AU127</f>
        <v>52</v>
      </c>
      <c r="H426" s="55"/>
      <c r="I426" s="56"/>
      <c r="J426" s="55"/>
      <c r="K426" s="56"/>
      <c r="L426" s="55">
        <f>SUM(BA400:BA427)</f>
        <v>1195.33</v>
      </c>
    </row>
    <row r="427" spans="1:82" ht="13.8" x14ac:dyDescent="0.25">
      <c r="C427" s="103" t="s">
        <v>77</v>
      </c>
      <c r="D427" s="103"/>
      <c r="E427" s="103"/>
      <c r="F427" s="103"/>
      <c r="G427" s="103"/>
      <c r="H427" s="103"/>
      <c r="I427" s="104">
        <f>IF(E400&lt;&gt;0,K427/E400,0)</f>
        <v>370358.99999999994</v>
      </c>
      <c r="J427" s="104"/>
      <c r="K427" s="104">
        <f>L402+L404+L412+L425+L426+L405+SUM(L421:L423)</f>
        <v>7407.1799999999985</v>
      </c>
      <c r="L427" s="104"/>
      <c r="AD427">
        <f>ROUND((Source!AT127/100)*((ROUND(SUMIF(SmtRes!AQ112:'SmtRes'!AQ124,"=1",SmtRes!AD112:'SmtRes'!AD124)*Source!I127,2)+ROUND(SUMIF(SmtRes!AQ112:'SmtRes'!AQ124,"=1",SmtRes!AC112:'SmtRes'!AC124)*Source!I127,2))),2)</f>
        <v>42.96</v>
      </c>
      <c r="AE427">
        <f>ROUND((Source!AU127/100)*((ROUND(SUMIF(SmtRes!AQ112:'SmtRes'!AQ124,"=1",SmtRes!AD112:'SmtRes'!AD124)*Source!I127,2)+ROUND(SUMIF(SmtRes!AQ112:'SmtRes'!AQ124,"=1",SmtRes!AC112:'SmtRes'!AC124)*Source!I127,2))),2)</f>
        <v>21.69</v>
      </c>
      <c r="AN427" s="59">
        <f>L402+L404+L412+L425+L426+L405</f>
        <v>5927.0299999999988</v>
      </c>
      <c r="AO427" s="59">
        <f>L404</f>
        <v>22.700000000000003</v>
      </c>
      <c r="AQ427" t="s">
        <v>78</v>
      </c>
      <c r="AR427" s="59">
        <f>L402</f>
        <v>2288.9</v>
      </c>
      <c r="AT427" s="59">
        <f>L405</f>
        <v>9.82</v>
      </c>
      <c r="AV427" t="s">
        <v>78</v>
      </c>
      <c r="AW427" s="59">
        <f>L412</f>
        <v>42.6</v>
      </c>
      <c r="AZ427">
        <f>Source!X127</f>
        <v>2367.6799999999998</v>
      </c>
      <c r="BA427">
        <f>Source!Y127</f>
        <v>1195.33</v>
      </c>
      <c r="CD427">
        <v>1</v>
      </c>
    </row>
    <row r="428" spans="1:82" ht="120" x14ac:dyDescent="0.25">
      <c r="A428" s="75" t="s">
        <v>287</v>
      </c>
      <c r="B428" s="43" t="s">
        <v>115</v>
      </c>
      <c r="C428" s="43" t="s">
        <v>116</v>
      </c>
      <c r="D428" s="44" t="str">
        <f>Source!H131</f>
        <v>100 м2</v>
      </c>
      <c r="E428" s="45">
        <f>Source!K131</f>
        <v>4.7800000000000004E-3</v>
      </c>
      <c r="F428" s="45"/>
      <c r="G428" s="45">
        <f>Source!I131</f>
        <v>4.7800000000000004E-3</v>
      </c>
      <c r="H428" s="46"/>
      <c r="I428" s="47"/>
      <c r="J428" s="46"/>
      <c r="K428" s="47"/>
      <c r="L428" s="46"/>
    </row>
    <row r="429" spans="1:82" ht="171.6" x14ac:dyDescent="0.25">
      <c r="B429" s="60" t="str">
        <f>Source!EO131</f>
        <v>Поправка: 421/пр_2020_п.58_пп.б</v>
      </c>
      <c r="C429" s="60" t="str">
        <f>Source!CN131</f>
        <v>Поправка: 421/пр_2020_п.58_пп.б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430" spans="1:82" x14ac:dyDescent="0.25">
      <c r="C430" s="48" t="str">
        <f>"Объем: "&amp;Source!I131&amp;"=0,478/"&amp;"100"</f>
        <v>Объем: 0,00478=0,478/100</v>
      </c>
    </row>
    <row r="431" spans="1:82" ht="14.4" x14ac:dyDescent="0.25">
      <c r="A431" s="49"/>
      <c r="B431" s="45">
        <v>1</v>
      </c>
      <c r="C431" s="49" t="s">
        <v>52</v>
      </c>
      <c r="D431" s="44" t="s">
        <v>31</v>
      </c>
      <c r="E431" s="50"/>
      <c r="F431" s="45"/>
      <c r="G431" s="45">
        <f>Source!U131</f>
        <v>5.8378100000000002E-2</v>
      </c>
      <c r="H431" s="45"/>
      <c r="I431" s="45"/>
      <c r="J431" s="45"/>
      <c r="K431" s="45"/>
      <c r="L431" s="51">
        <f>SUM(L432:L432)-SUMIF(CE432:CE432,1,L432:L432)</f>
        <v>46.56</v>
      </c>
    </row>
    <row r="432" spans="1:82" ht="14.4" x14ac:dyDescent="0.25">
      <c r="A432" s="43"/>
      <c r="B432" s="43" t="s">
        <v>117</v>
      </c>
      <c r="C432" s="43" t="s">
        <v>118</v>
      </c>
      <c r="D432" s="44" t="s">
        <v>31</v>
      </c>
      <c r="E432" s="45">
        <v>5.31</v>
      </c>
      <c r="F432" s="45">
        <f>ROUND(1.15*2,7)</f>
        <v>2.2999999999999998</v>
      </c>
      <c r="G432" s="45">
        <f>SmtRes!CX125</f>
        <v>5.8378100000000002E-2</v>
      </c>
      <c r="H432" s="46"/>
      <c r="I432" s="47"/>
      <c r="J432" s="46">
        <f>SmtRes!CZ125</f>
        <v>797.48</v>
      </c>
      <c r="K432" s="47"/>
      <c r="L432" s="46">
        <f>SmtRes!DI125</f>
        <v>46.56</v>
      </c>
    </row>
    <row r="433" spans="1:83" ht="14.4" x14ac:dyDescent="0.25">
      <c r="A433" s="49"/>
      <c r="B433" s="45">
        <v>2</v>
      </c>
      <c r="C433" s="49" t="s">
        <v>55</v>
      </c>
      <c r="D433" s="44"/>
      <c r="E433" s="50"/>
      <c r="F433" s="45"/>
      <c r="G433" s="45"/>
      <c r="H433" s="45"/>
      <c r="I433" s="45"/>
      <c r="J433" s="45"/>
      <c r="K433" s="45"/>
      <c r="L433" s="51">
        <f>SUM(L434:L440)-SUMIF(CE434:CE440,1,L434:L440)</f>
        <v>0.34999999999999987</v>
      </c>
    </row>
    <row r="434" spans="1:83" ht="14.4" x14ac:dyDescent="0.25">
      <c r="A434" s="49"/>
      <c r="B434" s="45"/>
      <c r="C434" s="49" t="s">
        <v>56</v>
      </c>
      <c r="D434" s="44" t="s">
        <v>31</v>
      </c>
      <c r="E434" s="50"/>
      <c r="F434" s="45"/>
      <c r="G434" s="45">
        <f>Source!V131</f>
        <v>2.3900000000000001E-4</v>
      </c>
      <c r="H434" s="45"/>
      <c r="I434" s="45"/>
      <c r="J434" s="45"/>
      <c r="K434" s="45"/>
      <c r="L434" s="51">
        <f>SUMIF(CE435:CE440,1,L435:L440)</f>
        <v>0.19</v>
      </c>
      <c r="CE434">
        <v>1</v>
      </c>
    </row>
    <row r="435" spans="1:83" ht="27.6" x14ac:dyDescent="0.25">
      <c r="A435" s="43"/>
      <c r="B435" s="43" t="s">
        <v>119</v>
      </c>
      <c r="C435" s="43" t="s">
        <v>120</v>
      </c>
      <c r="D435" s="44" t="s">
        <v>59</v>
      </c>
      <c r="E435" s="45">
        <v>0.01</v>
      </c>
      <c r="F435" s="45">
        <f t="shared" ref="F435:F440" si="2">ROUND(1.25*2,7)</f>
        <v>2.5</v>
      </c>
      <c r="G435" s="45">
        <f>SmtRes!CX127</f>
        <v>1.195E-4</v>
      </c>
      <c r="H435" s="46">
        <f>SmtRes!CZ127</f>
        <v>6.62</v>
      </c>
      <c r="I435" s="47">
        <f>SmtRes!AJ127</f>
        <v>1.48</v>
      </c>
      <c r="J435" s="46">
        <f>ROUND(H435*I435,2)</f>
        <v>9.8000000000000007</v>
      </c>
      <c r="K435" s="47"/>
      <c r="L435" s="46">
        <f>SmtRes!DG127</f>
        <v>0</v>
      </c>
    </row>
    <row r="436" spans="1:83" ht="69" x14ac:dyDescent="0.25">
      <c r="A436" s="43"/>
      <c r="B436" s="43" t="s">
        <v>121</v>
      </c>
      <c r="C436" s="43" t="s">
        <v>122</v>
      </c>
      <c r="D436" s="44" t="s">
        <v>59</v>
      </c>
      <c r="E436" s="45">
        <v>0.01</v>
      </c>
      <c r="F436" s="45">
        <f t="shared" si="2"/>
        <v>2.5</v>
      </c>
      <c r="G436" s="45">
        <f>SmtRes!CX128</f>
        <v>1.195E-4</v>
      </c>
      <c r="H436" s="46"/>
      <c r="I436" s="47"/>
      <c r="J436" s="46">
        <f>SmtRes!CZ128</f>
        <v>1593.71</v>
      </c>
      <c r="K436" s="47"/>
      <c r="L436" s="46">
        <f>SmtRes!DG128</f>
        <v>0.19</v>
      </c>
    </row>
    <row r="437" spans="1:83" ht="14.4" x14ac:dyDescent="0.25">
      <c r="A437" s="43"/>
      <c r="B437" s="43" t="s">
        <v>123</v>
      </c>
      <c r="C437" s="43" t="s">
        <v>124</v>
      </c>
      <c r="D437" s="44" t="s">
        <v>31</v>
      </c>
      <c r="E437" s="45">
        <f>SmtRes!DO128*SmtRes!AT128</f>
        <v>0.01</v>
      </c>
      <c r="F437" s="45">
        <f t="shared" si="2"/>
        <v>2.5</v>
      </c>
      <c r="G437" s="45">
        <f>ROUND(E437*F437*G428,7)</f>
        <v>1.195E-4</v>
      </c>
      <c r="H437" s="46"/>
      <c r="I437" s="47"/>
      <c r="J437" s="46">
        <f>ROUND(SmtRes!AG128/SmtRes!DO128,2)</f>
        <v>829.81</v>
      </c>
      <c r="K437" s="47"/>
      <c r="L437" s="46">
        <f>SmtRes!DH128</f>
        <v>0.1</v>
      </c>
      <c r="CE437">
        <v>1</v>
      </c>
    </row>
    <row r="438" spans="1:83" ht="27.6" x14ac:dyDescent="0.25">
      <c r="A438" s="43"/>
      <c r="B438" s="43" t="s">
        <v>62</v>
      </c>
      <c r="C438" s="43" t="s">
        <v>63</v>
      </c>
      <c r="D438" s="44" t="s">
        <v>59</v>
      </c>
      <c r="E438" s="45">
        <v>0.01</v>
      </c>
      <c r="F438" s="45">
        <f t="shared" si="2"/>
        <v>2.5</v>
      </c>
      <c r="G438" s="45">
        <f>SmtRes!CX129</f>
        <v>1.195E-4</v>
      </c>
      <c r="H438" s="46"/>
      <c r="I438" s="47"/>
      <c r="J438" s="46">
        <f>SmtRes!CZ129</f>
        <v>643.29</v>
      </c>
      <c r="K438" s="47"/>
      <c r="L438" s="46">
        <f>SmtRes!DG129</f>
        <v>0.08</v>
      </c>
    </row>
    <row r="439" spans="1:83" ht="14.4" x14ac:dyDescent="0.25">
      <c r="A439" s="43"/>
      <c r="B439" s="43" t="s">
        <v>64</v>
      </c>
      <c r="C439" s="43" t="s">
        <v>65</v>
      </c>
      <c r="D439" s="44" t="s">
        <v>31</v>
      </c>
      <c r="E439" s="45">
        <f>SmtRes!DO129*SmtRes!AT129</f>
        <v>0.01</v>
      </c>
      <c r="F439" s="45">
        <f t="shared" si="2"/>
        <v>2.5</v>
      </c>
      <c r="G439" s="45">
        <f>ROUND(E439*F439*G428,7)</f>
        <v>1.195E-4</v>
      </c>
      <c r="H439" s="46"/>
      <c r="I439" s="47"/>
      <c r="J439" s="46">
        <f>ROUND(SmtRes!AG129/SmtRes!DO129,2)</f>
        <v>722.05</v>
      </c>
      <c r="K439" s="47"/>
      <c r="L439" s="46">
        <f>SmtRes!DH129</f>
        <v>0.09</v>
      </c>
      <c r="CE439">
        <v>1</v>
      </c>
    </row>
    <row r="440" spans="1:83" ht="41.4" x14ac:dyDescent="0.25">
      <c r="A440" s="43"/>
      <c r="B440" s="43" t="s">
        <v>125</v>
      </c>
      <c r="C440" s="43" t="s">
        <v>126</v>
      </c>
      <c r="D440" s="44" t="s">
        <v>59</v>
      </c>
      <c r="E440" s="45">
        <v>1.1200000000000001</v>
      </c>
      <c r="F440" s="45">
        <f t="shared" si="2"/>
        <v>2.5</v>
      </c>
      <c r="G440" s="45">
        <f>SmtRes!CX130</f>
        <v>1.3384E-2</v>
      </c>
      <c r="H440" s="46">
        <f>SmtRes!CZ130</f>
        <v>4.5199999999999996</v>
      </c>
      <c r="I440" s="47">
        <f>SmtRes!AJ130</f>
        <v>1.29</v>
      </c>
      <c r="J440" s="46">
        <f>ROUND(H440*I440,2)</f>
        <v>5.83</v>
      </c>
      <c r="K440" s="47"/>
      <c r="L440" s="46">
        <f>SmtRes!DG130</f>
        <v>0.08</v>
      </c>
    </row>
    <row r="441" spans="1:83" ht="14.4" x14ac:dyDescent="0.25">
      <c r="A441" s="49"/>
      <c r="B441" s="45">
        <v>4</v>
      </c>
      <c r="C441" s="49" t="s">
        <v>66</v>
      </c>
      <c r="D441" s="44"/>
      <c r="E441" s="50"/>
      <c r="F441" s="45"/>
      <c r="G441" s="45"/>
      <c r="H441" s="45"/>
      <c r="I441" s="45"/>
      <c r="J441" s="45"/>
      <c r="K441" s="45"/>
      <c r="L441" s="51">
        <f>SUM(L442:L443)-SUMIF(CE442:CE443,1,L442:L443)</f>
        <v>8.35</v>
      </c>
    </row>
    <row r="442" spans="1:83" ht="14.4" x14ac:dyDescent="0.25">
      <c r="A442" s="43"/>
      <c r="B442" s="43" t="s">
        <v>127</v>
      </c>
      <c r="C442" s="43" t="s">
        <v>128</v>
      </c>
      <c r="D442" s="44" t="s">
        <v>87</v>
      </c>
      <c r="E442" s="45">
        <v>8.9999999999999993E-3</v>
      </c>
      <c r="F442" s="45">
        <f>ROUND(2,7)</f>
        <v>2</v>
      </c>
      <c r="G442" s="45">
        <f>SmtRes!CX131</f>
        <v>8.6000000000000003E-5</v>
      </c>
      <c r="H442" s="46">
        <f>SmtRes!CZ131</f>
        <v>51280.15</v>
      </c>
      <c r="I442" s="47">
        <f>SmtRes!AI131</f>
        <v>1.54</v>
      </c>
      <c r="J442" s="46">
        <f>ROUND(H442*I442,2)</f>
        <v>78971.429999999993</v>
      </c>
      <c r="K442" s="47"/>
      <c r="L442" s="46">
        <f>SmtRes!DF131</f>
        <v>6.79</v>
      </c>
    </row>
    <row r="443" spans="1:83" ht="14.4" x14ac:dyDescent="0.25">
      <c r="A443" s="43"/>
      <c r="B443" s="43" t="s">
        <v>129</v>
      </c>
      <c r="C443" s="52" t="s">
        <v>130</v>
      </c>
      <c r="D443" s="53" t="s">
        <v>87</v>
      </c>
      <c r="E443" s="54">
        <v>1.5E-3</v>
      </c>
      <c r="F443" s="54">
        <f>ROUND(2,7)</f>
        <v>2</v>
      </c>
      <c r="G443" s="54">
        <f>SmtRes!CX132</f>
        <v>1.43E-5</v>
      </c>
      <c r="H443" s="55">
        <f>SmtRes!CZ132</f>
        <v>75885.63</v>
      </c>
      <c r="I443" s="56">
        <f>SmtRes!AI132</f>
        <v>1.44</v>
      </c>
      <c r="J443" s="55">
        <f>ROUND(H443*I443,2)</f>
        <v>109275.31</v>
      </c>
      <c r="K443" s="56"/>
      <c r="L443" s="55">
        <f>SmtRes!DF132</f>
        <v>1.56</v>
      </c>
    </row>
    <row r="444" spans="1:83" ht="14.4" x14ac:dyDescent="0.25">
      <c r="A444" s="43"/>
      <c r="B444" s="43"/>
      <c r="C444" s="57" t="s">
        <v>70</v>
      </c>
      <c r="D444" s="44"/>
      <c r="E444" s="45"/>
      <c r="F444" s="45"/>
      <c r="G444" s="45"/>
      <c r="H444" s="46"/>
      <c r="I444" s="47"/>
      <c r="J444" s="46"/>
      <c r="K444" s="47"/>
      <c r="L444" s="46">
        <f>L431+L433+L434+L441</f>
        <v>55.45</v>
      </c>
    </row>
    <row r="445" spans="1:83" ht="14.4" x14ac:dyDescent="0.25">
      <c r="A445" s="43"/>
      <c r="B445" s="43"/>
      <c r="C445" s="43" t="s">
        <v>71</v>
      </c>
      <c r="D445" s="44"/>
      <c r="E445" s="45"/>
      <c r="F445" s="45"/>
      <c r="G445" s="45"/>
      <c r="H445" s="46"/>
      <c r="I445" s="47"/>
      <c r="J445" s="46"/>
      <c r="K445" s="47"/>
      <c r="L445" s="46">
        <f>SUM(AR428:AR448)+SUM(AS428:AS448)+SUM(AT428:AT448)+SUM(AU428:AU448)+SUM(AV428:AV448)</f>
        <v>46.75</v>
      </c>
    </row>
    <row r="446" spans="1:83" ht="27.6" x14ac:dyDescent="0.25">
      <c r="A446" s="43"/>
      <c r="B446" s="43" t="s">
        <v>131</v>
      </c>
      <c r="C446" s="43" t="s">
        <v>132</v>
      </c>
      <c r="D446" s="44" t="s">
        <v>74</v>
      </c>
      <c r="E446" s="45">
        <f>Source!BZ131</f>
        <v>94</v>
      </c>
      <c r="F446" s="45">
        <f>ROUND(0.9,7)</f>
        <v>0.9</v>
      </c>
      <c r="G446" s="45">
        <f>Source!AT131</f>
        <v>84.6</v>
      </c>
      <c r="H446" s="46"/>
      <c r="I446" s="47"/>
      <c r="J446" s="46"/>
      <c r="K446" s="47"/>
      <c r="L446" s="46">
        <f>SUM(AZ428:AZ448)</f>
        <v>39.549999999999997</v>
      </c>
    </row>
    <row r="447" spans="1:83" ht="27.6" x14ac:dyDescent="0.25">
      <c r="A447" s="52"/>
      <c r="B447" s="52" t="s">
        <v>133</v>
      </c>
      <c r="C447" s="52" t="s">
        <v>134</v>
      </c>
      <c r="D447" s="53" t="s">
        <v>74</v>
      </c>
      <c r="E447" s="54">
        <f>Source!CA131</f>
        <v>51</v>
      </c>
      <c r="F447" s="54">
        <f>ROUND(0.85,7)</f>
        <v>0.85</v>
      </c>
      <c r="G447" s="54">
        <f>Source!AU131</f>
        <v>43.35</v>
      </c>
      <c r="H447" s="55"/>
      <c r="I447" s="56"/>
      <c r="J447" s="55"/>
      <c r="K447" s="56"/>
      <c r="L447" s="55">
        <f>SUM(BA428:BA448)</f>
        <v>20.27</v>
      </c>
    </row>
    <row r="448" spans="1:83" ht="13.8" x14ac:dyDescent="0.25">
      <c r="C448" s="103" t="s">
        <v>77</v>
      </c>
      <c r="D448" s="103"/>
      <c r="E448" s="103"/>
      <c r="F448" s="103"/>
      <c r="G448" s="103"/>
      <c r="H448" s="103"/>
      <c r="I448" s="104">
        <f>IF(E428&lt;&gt;0,K448/E428,0)</f>
        <v>24115.062761506273</v>
      </c>
      <c r="J448" s="104"/>
      <c r="K448" s="104">
        <f>L431+L433+L441+L446+L447+L434</f>
        <v>115.27</v>
      </c>
      <c r="L448" s="104"/>
      <c r="AD448">
        <f>ROUND((Source!AT131/100)*((ROUND(SUMIF(SmtRes!AQ125:'SmtRes'!AQ132,"=1",SmtRes!AD125:'SmtRes'!AD132)*Source!I131,2)+ROUND(SUMIF(SmtRes!AQ125:'SmtRes'!AQ132,"=1",SmtRes!AC125:'SmtRes'!AC132)*Source!I131,2))),2)</f>
        <v>9.5</v>
      </c>
      <c r="AE448">
        <f>ROUND((Source!AU131/100)*((ROUND(SUMIF(SmtRes!AQ125:'SmtRes'!AQ132,"=1",SmtRes!AD125:'SmtRes'!AD132)*Source!I131,2)+ROUND(SUMIF(SmtRes!AQ125:'SmtRes'!AQ132,"=1",SmtRes!AC125:'SmtRes'!AC132)*Source!I131,2))),2)</f>
        <v>4.87</v>
      </c>
      <c r="AN448" s="59">
        <f>L431+L433+L441+L446+L447+L434</f>
        <v>115.27</v>
      </c>
      <c r="AO448" s="59">
        <f>L433</f>
        <v>0.34999999999999987</v>
      </c>
      <c r="AQ448" t="s">
        <v>78</v>
      </c>
      <c r="AR448" s="59">
        <f>L431</f>
        <v>46.56</v>
      </c>
      <c r="AT448" s="59">
        <f>L434</f>
        <v>0.19</v>
      </c>
      <c r="AV448" t="s">
        <v>78</v>
      </c>
      <c r="AW448" s="59">
        <f>L441</f>
        <v>8.35</v>
      </c>
      <c r="AZ448">
        <f>Source!X131</f>
        <v>39.549999999999997</v>
      </c>
      <c r="BA448">
        <f>Source!Y131</f>
        <v>20.27</v>
      </c>
      <c r="CD448">
        <v>1</v>
      </c>
    </row>
    <row r="449" spans="1:101" ht="55.2" x14ac:dyDescent="0.25">
      <c r="A449" s="75" t="s">
        <v>288</v>
      </c>
      <c r="B449" s="43" t="s">
        <v>136</v>
      </c>
      <c r="C449" s="43" t="str">
        <f>Source!G132</f>
        <v>Масляная окраска металлических поверхностей: решеток, переплетов, труб диаметром менее 50 мм и т.п., количество окрасок 2</v>
      </c>
      <c r="D449" s="44" t="str">
        <f>Source!H132</f>
        <v>100 м2</v>
      </c>
      <c r="E449" s="45">
        <f>Source!K132</f>
        <v>4.7800000000000004E-3</v>
      </c>
      <c r="F449" s="45"/>
      <c r="G449" s="45">
        <f>Source!I132</f>
        <v>4.7800000000000004E-3</v>
      </c>
      <c r="H449" s="46"/>
      <c r="I449" s="47"/>
      <c r="J449" s="46"/>
      <c r="K449" s="47"/>
      <c r="L449" s="46"/>
    </row>
    <row r="450" spans="1:101" ht="52.8" x14ac:dyDescent="0.25">
      <c r="B450" s="60" t="s">
        <v>137</v>
      </c>
      <c r="C450" s="106" t="s">
        <v>138</v>
      </c>
      <c r="D450" s="106"/>
      <c r="E450" s="106"/>
      <c r="F450" s="106"/>
      <c r="G450" s="106"/>
      <c r="H450" s="106"/>
      <c r="I450" s="106"/>
      <c r="J450" s="106"/>
      <c r="K450" s="106"/>
      <c r="L450" s="106"/>
      <c r="CW450" s="77" t="s">
        <v>138</v>
      </c>
    </row>
    <row r="451" spans="1:101" x14ac:dyDescent="0.25">
      <c r="C451" s="48" t="str">
        <f>"Объем: "&amp;Source!I132&amp;"=0,478/"&amp;"100"</f>
        <v>Объем: 0,00478=0,478/100</v>
      </c>
    </row>
    <row r="452" spans="1:101" ht="14.4" x14ac:dyDescent="0.25">
      <c r="A452" s="49"/>
      <c r="B452" s="45">
        <v>1</v>
      </c>
      <c r="C452" s="49" t="s">
        <v>52</v>
      </c>
      <c r="D452" s="44" t="s">
        <v>31</v>
      </c>
      <c r="E452" s="50"/>
      <c r="F452" s="45"/>
      <c r="G452" s="45">
        <f>Source!U132</f>
        <v>0.35510619999999998</v>
      </c>
      <c r="H452" s="45"/>
      <c r="I452" s="45"/>
      <c r="J452" s="45"/>
      <c r="K452" s="45"/>
      <c r="L452" s="51">
        <f>SUM(L453:L453)-SUMIF(CE453:CE453,1,L453:L453)</f>
        <v>236.31</v>
      </c>
    </row>
    <row r="453" spans="1:101" ht="14.4" x14ac:dyDescent="0.25">
      <c r="A453" s="43"/>
      <c r="B453" s="43" t="s">
        <v>139</v>
      </c>
      <c r="C453" s="43" t="s">
        <v>140</v>
      </c>
      <c r="D453" s="44" t="s">
        <v>31</v>
      </c>
      <c r="E453" s="45">
        <v>64.599999999999994</v>
      </c>
      <c r="F453" s="45">
        <f>ROUND(1.15,7)</f>
        <v>1.1499999999999999</v>
      </c>
      <c r="G453" s="45">
        <f>SmtRes!CX133</f>
        <v>0.35510619999999998</v>
      </c>
      <c r="H453" s="46"/>
      <c r="I453" s="47"/>
      <c r="J453" s="46">
        <f>SmtRes!CZ133</f>
        <v>665.47</v>
      </c>
      <c r="K453" s="47"/>
      <c r="L453" s="46">
        <f>SmtRes!DI133</f>
        <v>236.31</v>
      </c>
    </row>
    <row r="454" spans="1:101" ht="14.4" x14ac:dyDescent="0.25">
      <c r="A454" s="49"/>
      <c r="B454" s="45">
        <v>2</v>
      </c>
      <c r="C454" s="49" t="s">
        <v>55</v>
      </c>
      <c r="D454" s="44"/>
      <c r="E454" s="50"/>
      <c r="F454" s="45"/>
      <c r="G454" s="45"/>
      <c r="H454" s="45"/>
      <c r="I454" s="45"/>
      <c r="J454" s="45"/>
      <c r="K454" s="45"/>
      <c r="L454" s="51">
        <f>SUM(L455:L459)-SUMIF(CE455:CE459,1,L455:L459)</f>
        <v>0.12</v>
      </c>
    </row>
    <row r="455" spans="1:101" ht="14.4" x14ac:dyDescent="0.25">
      <c r="A455" s="49"/>
      <c r="B455" s="45"/>
      <c r="C455" s="49" t="s">
        <v>56</v>
      </c>
      <c r="D455" s="44" t="s">
        <v>31</v>
      </c>
      <c r="E455" s="50"/>
      <c r="F455" s="45"/>
      <c r="G455" s="45">
        <f>Source!V132</f>
        <v>2.3909999999999998E-4</v>
      </c>
      <c r="H455" s="45"/>
      <c r="I455" s="45"/>
      <c r="J455" s="45"/>
      <c r="K455" s="45"/>
      <c r="L455" s="51">
        <f>SUMIF(CE456:CE459,1,L456:L459)</f>
        <v>0.17</v>
      </c>
      <c r="CE455">
        <v>1</v>
      </c>
    </row>
    <row r="456" spans="1:101" ht="41.4" x14ac:dyDescent="0.25">
      <c r="A456" s="43"/>
      <c r="B456" s="43" t="s">
        <v>57</v>
      </c>
      <c r="C456" s="43" t="s">
        <v>58</v>
      </c>
      <c r="D456" s="44" t="s">
        <v>59</v>
      </c>
      <c r="E456" s="45">
        <v>0.01</v>
      </c>
      <c r="F456" s="45">
        <f>ROUND(1.25,7)</f>
        <v>1.25</v>
      </c>
      <c r="G456" s="45">
        <f>SmtRes!CX135</f>
        <v>5.9799999999999997E-5</v>
      </c>
      <c r="H456" s="46">
        <f>SmtRes!CZ135</f>
        <v>37.32</v>
      </c>
      <c r="I456" s="47">
        <f>SmtRes!AJ135</f>
        <v>1.54</v>
      </c>
      <c r="J456" s="46">
        <f>ROUND(H456*I456,2)</f>
        <v>57.47</v>
      </c>
      <c r="K456" s="47"/>
      <c r="L456" s="46">
        <f>SmtRes!DG135</f>
        <v>0</v>
      </c>
    </row>
    <row r="457" spans="1:101" ht="14.4" x14ac:dyDescent="0.25">
      <c r="A457" s="43"/>
      <c r="B457" s="43" t="s">
        <v>60</v>
      </c>
      <c r="C457" s="43" t="s">
        <v>61</v>
      </c>
      <c r="D457" s="44" t="s">
        <v>31</v>
      </c>
      <c r="E457" s="45">
        <f>SmtRes!DO135*SmtRes!AT135</f>
        <v>0.01</v>
      </c>
      <c r="F457" s="45">
        <f>ROUND(1.25,7)</f>
        <v>1.25</v>
      </c>
      <c r="G457" s="45">
        <f>ROUND(E457*F457*G449,7)</f>
        <v>5.9799999999999997E-5</v>
      </c>
      <c r="H457" s="46"/>
      <c r="I457" s="47"/>
      <c r="J457" s="46">
        <f>ROUND(SmtRes!AG135/SmtRes!DO135,2)</f>
        <v>641.22</v>
      </c>
      <c r="K457" s="47"/>
      <c r="L457" s="46">
        <f>SmtRes!DH135</f>
        <v>0.04</v>
      </c>
      <c r="CE457">
        <v>1</v>
      </c>
    </row>
    <row r="458" spans="1:101" ht="27.6" x14ac:dyDescent="0.25">
      <c r="A458" s="43"/>
      <c r="B458" s="43" t="s">
        <v>62</v>
      </c>
      <c r="C458" s="43" t="s">
        <v>63</v>
      </c>
      <c r="D458" s="44" t="s">
        <v>59</v>
      </c>
      <c r="E458" s="45">
        <v>0.03</v>
      </c>
      <c r="F458" s="45">
        <f>ROUND(1.25,7)</f>
        <v>1.25</v>
      </c>
      <c r="G458" s="45">
        <f>SmtRes!CX136</f>
        <v>1.7929999999999999E-4</v>
      </c>
      <c r="H458" s="46"/>
      <c r="I458" s="47"/>
      <c r="J458" s="46">
        <f>SmtRes!CZ136</f>
        <v>643.29</v>
      </c>
      <c r="K458" s="47"/>
      <c r="L458" s="46">
        <f>SmtRes!DG136</f>
        <v>0.12</v>
      </c>
    </row>
    <row r="459" spans="1:101" ht="14.4" x14ac:dyDescent="0.25">
      <c r="A459" s="43"/>
      <c r="B459" s="43" t="s">
        <v>64</v>
      </c>
      <c r="C459" s="43" t="s">
        <v>65</v>
      </c>
      <c r="D459" s="44" t="s">
        <v>31</v>
      </c>
      <c r="E459" s="45">
        <f>SmtRes!DO136*SmtRes!AT136</f>
        <v>0.03</v>
      </c>
      <c r="F459" s="45">
        <f>ROUND(1.25,7)</f>
        <v>1.25</v>
      </c>
      <c r="G459" s="45">
        <f>ROUND(E459*F459*G449,7)</f>
        <v>1.7929999999999999E-4</v>
      </c>
      <c r="H459" s="46"/>
      <c r="I459" s="47"/>
      <c r="J459" s="46">
        <f>ROUND(SmtRes!AG136/SmtRes!DO136,2)</f>
        <v>722.05</v>
      </c>
      <c r="K459" s="47"/>
      <c r="L459" s="46">
        <f>SmtRes!DH136</f>
        <v>0.13</v>
      </c>
      <c r="CE459">
        <v>1</v>
      </c>
    </row>
    <row r="460" spans="1:101" ht="14.4" x14ac:dyDescent="0.25">
      <c r="A460" s="49"/>
      <c r="B460" s="45">
        <v>4</v>
      </c>
      <c r="C460" s="49" t="s">
        <v>66</v>
      </c>
      <c r="D460" s="44"/>
      <c r="E460" s="50"/>
      <c r="F460" s="45"/>
      <c r="G460" s="45"/>
      <c r="H460" s="45"/>
      <c r="I460" s="45"/>
      <c r="J460" s="45"/>
      <c r="K460" s="45"/>
      <c r="L460" s="51">
        <f>SUM(L461:L462)-SUMIF(CE461:CE462,1,L461:L462)</f>
        <v>2.1800000000000002</v>
      </c>
    </row>
    <row r="461" spans="1:101" ht="14.4" x14ac:dyDescent="0.25">
      <c r="A461" s="43"/>
      <c r="B461" s="43" t="s">
        <v>141</v>
      </c>
      <c r="C461" s="43" t="s">
        <v>142</v>
      </c>
      <c r="D461" s="44" t="s">
        <v>111</v>
      </c>
      <c r="E461" s="45">
        <v>0.3</v>
      </c>
      <c r="F461" s="45"/>
      <c r="G461" s="45">
        <f>SmtRes!CX137</f>
        <v>1.4339999999999999E-3</v>
      </c>
      <c r="H461" s="46">
        <f>SmtRes!CZ137</f>
        <v>56.11</v>
      </c>
      <c r="I461" s="47">
        <f>SmtRes!AI137</f>
        <v>1.54</v>
      </c>
      <c r="J461" s="46">
        <f>ROUND(H461*I461,2)</f>
        <v>86.41</v>
      </c>
      <c r="K461" s="47"/>
      <c r="L461" s="46">
        <f>SmtRes!DF137</f>
        <v>0.12</v>
      </c>
    </row>
    <row r="462" spans="1:101" ht="14.4" x14ac:dyDescent="0.25">
      <c r="A462" s="43"/>
      <c r="B462" s="43" t="s">
        <v>143</v>
      </c>
      <c r="C462" s="43" t="s">
        <v>144</v>
      </c>
      <c r="D462" s="44" t="s">
        <v>111</v>
      </c>
      <c r="E462" s="45">
        <v>2.7</v>
      </c>
      <c r="F462" s="45"/>
      <c r="G462" s="45">
        <f>SmtRes!CX139</f>
        <v>1.2906000000000001E-2</v>
      </c>
      <c r="H462" s="46">
        <f>SmtRes!CZ139</f>
        <v>133.31</v>
      </c>
      <c r="I462" s="47">
        <f>SmtRes!AI139</f>
        <v>1.2</v>
      </c>
      <c r="J462" s="46">
        <f>ROUND(H462*I462,2)</f>
        <v>159.97</v>
      </c>
      <c r="K462" s="47"/>
      <c r="L462" s="46">
        <f>SmtRes!DF139</f>
        <v>2.06</v>
      </c>
    </row>
    <row r="463" spans="1:101" ht="27.6" x14ac:dyDescent="0.25">
      <c r="A463" s="43"/>
      <c r="B463" s="43" t="str">
        <f>EtalonRes!I138</f>
        <v>14.4.02.04</v>
      </c>
      <c r="C463" s="52" t="str">
        <f>EtalonRes!K138</f>
        <v>Краски для внутренних работ масляные готовые к применению</v>
      </c>
      <c r="D463" s="53" t="str">
        <f>EtalonRes!O138</f>
        <v>кг</v>
      </c>
      <c r="E463" s="54">
        <f>EtalonRes!X138</f>
        <v>24.6</v>
      </c>
      <c r="F463" s="54"/>
      <c r="G463" s="54">
        <f>ROUND(EtalonRes!AG138*Source!I132,7)</f>
        <v>0.117588</v>
      </c>
      <c r="H463" s="55"/>
      <c r="I463" s="56"/>
      <c r="J463" s="55"/>
      <c r="K463" s="56"/>
      <c r="L463" s="55"/>
    </row>
    <row r="464" spans="1:101" ht="14.4" x14ac:dyDescent="0.25">
      <c r="A464" s="43"/>
      <c r="B464" s="43"/>
      <c r="C464" s="57" t="s">
        <v>70</v>
      </c>
      <c r="D464" s="44"/>
      <c r="E464" s="45"/>
      <c r="F464" s="45"/>
      <c r="G464" s="45"/>
      <c r="H464" s="46"/>
      <c r="I464" s="47"/>
      <c r="J464" s="46"/>
      <c r="K464" s="47"/>
      <c r="L464" s="46">
        <f>L452+L454+L455+L460</f>
        <v>238.78</v>
      </c>
    </row>
    <row r="465" spans="1:101" ht="14.4" x14ac:dyDescent="0.25">
      <c r="A465" s="75" t="s">
        <v>289</v>
      </c>
      <c r="B465" s="43" t="str">
        <f>Source!F133</f>
        <v>14.4.02.04-0252</v>
      </c>
      <c r="C465" s="43" t="str">
        <f>Source!G133</f>
        <v>Краска масляная МА-25, цветная</v>
      </c>
      <c r="D465" s="44" t="str">
        <f>Source!H133</f>
        <v>т</v>
      </c>
      <c r="E465" s="45">
        <f>SmtRes!AT138</f>
        <v>2.46E-2</v>
      </c>
      <c r="F465" s="45"/>
      <c r="G465" s="45">
        <f>Source!I133</f>
        <v>1.175999999999998E-4</v>
      </c>
      <c r="H465" s="46">
        <f>Source!AL133+Source!AO133+Source!AM133+Source!AN133</f>
        <v>61813.88</v>
      </c>
      <c r="I465" s="47">
        <f>IF(Source!BC133&lt;&gt;0,Source!BC133,1)</f>
        <v>1.4</v>
      </c>
      <c r="J465" s="46">
        <f>ROUND(H465*I465,2)</f>
        <v>86539.43</v>
      </c>
      <c r="K465" s="47"/>
      <c r="L465" s="46">
        <f>Source!P133</f>
        <v>10.18</v>
      </c>
      <c r="AD465">
        <f>ROUND((Source!AT133/100)*((ROUND(ROUND(Source!AO133,2)*Source!I133,2)+ROUND(ROUND(Source!AN133,2)*Source!I133,2))),2)</f>
        <v>0</v>
      </c>
      <c r="AE465">
        <f>ROUND((Source!AU133/100)*((ROUND(ROUND(Source!AO133,2)*Source!I133,2)+ROUND(ROUND(Source!AN133,2)*Source!I133,2))),2)</f>
        <v>0</v>
      </c>
      <c r="AN465">
        <f>L465</f>
        <v>10.18</v>
      </c>
      <c r="AW465">
        <f>L465</f>
        <v>10.18</v>
      </c>
      <c r="AZ465">
        <f>Source!X133</f>
        <v>0</v>
      </c>
      <c r="BA465">
        <f>Source!Y133</f>
        <v>0</v>
      </c>
      <c r="CD465">
        <v>1</v>
      </c>
    </row>
    <row r="466" spans="1:101" ht="14.4" x14ac:dyDescent="0.25">
      <c r="A466" s="43"/>
      <c r="B466" s="43"/>
      <c r="C466" s="43" t="s">
        <v>71</v>
      </c>
      <c r="D466" s="44"/>
      <c r="E466" s="45"/>
      <c r="F466" s="45"/>
      <c r="G466" s="45"/>
      <c r="H466" s="46"/>
      <c r="I466" s="47"/>
      <c r="J466" s="46"/>
      <c r="K466" s="47"/>
      <c r="L466" s="46">
        <f>SUM(AR449:AR469)+SUM(AS449:AS469)+SUM(AT449:AT469)+SUM(AU449:AU469)+SUM(AV449:AV469)</f>
        <v>236.48</v>
      </c>
    </row>
    <row r="467" spans="1:101" ht="27.6" x14ac:dyDescent="0.25">
      <c r="A467" s="43"/>
      <c r="B467" s="43" t="s">
        <v>146</v>
      </c>
      <c r="C467" s="43" t="s">
        <v>147</v>
      </c>
      <c r="D467" s="44" t="s">
        <v>74</v>
      </c>
      <c r="E467" s="45">
        <f>Source!BZ132</f>
        <v>100</v>
      </c>
      <c r="F467" s="45">
        <f>ROUND(0.9,7)</f>
        <v>0.9</v>
      </c>
      <c r="G467" s="45">
        <f>Source!AT132</f>
        <v>90</v>
      </c>
      <c r="H467" s="46"/>
      <c r="I467" s="47"/>
      <c r="J467" s="46"/>
      <c r="K467" s="47"/>
      <c r="L467" s="46">
        <f>SUM(AZ449:AZ469)</f>
        <v>212.83</v>
      </c>
    </row>
    <row r="468" spans="1:101" ht="27.6" x14ac:dyDescent="0.25">
      <c r="A468" s="52"/>
      <c r="B468" s="52" t="s">
        <v>148</v>
      </c>
      <c r="C468" s="52" t="s">
        <v>149</v>
      </c>
      <c r="D468" s="53" t="s">
        <v>74</v>
      </c>
      <c r="E468" s="54">
        <f>Source!CA132</f>
        <v>49</v>
      </c>
      <c r="F468" s="54">
        <f>ROUND(0.85,7)</f>
        <v>0.85</v>
      </c>
      <c r="G468" s="54">
        <f>Source!AU132</f>
        <v>41.65</v>
      </c>
      <c r="H468" s="55"/>
      <c r="I468" s="56"/>
      <c r="J468" s="55"/>
      <c r="K468" s="56"/>
      <c r="L468" s="55">
        <f>SUM(BA449:BA469)</f>
        <v>98.49</v>
      </c>
    </row>
    <row r="469" spans="1:101" ht="13.8" x14ac:dyDescent="0.25">
      <c r="C469" s="103" t="s">
        <v>77</v>
      </c>
      <c r="D469" s="103"/>
      <c r="E469" s="103"/>
      <c r="F469" s="103"/>
      <c r="G469" s="103"/>
      <c r="H469" s="103"/>
      <c r="I469" s="104">
        <f>IF(E449&lt;&gt;0,K469/E449,0)</f>
        <v>117213.3891213389</v>
      </c>
      <c r="J469" s="104"/>
      <c r="K469" s="104">
        <f>L452+L454+L460+L467+L468+L455+SUM(L465:L465)</f>
        <v>560.28</v>
      </c>
      <c r="L469" s="104"/>
      <c r="AD469">
        <f>ROUND((Source!AT132/100)*((ROUND(SUMIF(SmtRes!AQ133:'SmtRes'!AQ139,"=1",SmtRes!AD133:'SmtRes'!AD139)*Source!I132,2)+ROUND(SUMIF(SmtRes!AQ133:'SmtRes'!AQ139,"=1",SmtRes!AC133:'SmtRes'!AC139)*Source!I132,2))),2)</f>
        <v>8.73</v>
      </c>
      <c r="AE469">
        <f>ROUND((Source!AU132/100)*((ROUND(SUMIF(SmtRes!AQ133:'SmtRes'!AQ139,"=1",SmtRes!AD133:'SmtRes'!AD139)*Source!I132,2)+ROUND(SUMIF(SmtRes!AQ133:'SmtRes'!AQ139,"=1",SmtRes!AC133:'SmtRes'!AC139)*Source!I132,2))),2)</f>
        <v>4.04</v>
      </c>
      <c r="AN469" s="59">
        <f>L452+L454+L460+L467+L468+L455</f>
        <v>550.1</v>
      </c>
      <c r="AO469" s="59">
        <f>L454</f>
        <v>0.12</v>
      </c>
      <c r="AQ469" t="s">
        <v>78</v>
      </c>
      <c r="AR469" s="59">
        <f>L452</f>
        <v>236.31</v>
      </c>
      <c r="AT469" s="59">
        <f>L455</f>
        <v>0.17</v>
      </c>
      <c r="AV469" t="s">
        <v>78</v>
      </c>
      <c r="AW469" s="59">
        <f>L460</f>
        <v>2.1800000000000002</v>
      </c>
      <c r="AZ469">
        <f>Source!X132</f>
        <v>212.83</v>
      </c>
      <c r="BA469">
        <f>Source!Y132</f>
        <v>98.49</v>
      </c>
      <c r="CD469">
        <v>1</v>
      </c>
    </row>
    <row r="470" spans="1:101" ht="41.4" x14ac:dyDescent="0.25">
      <c r="A470" s="75" t="s">
        <v>290</v>
      </c>
      <c r="B470" s="43" t="s">
        <v>151</v>
      </c>
      <c r="C470" s="43" t="str">
        <f>Source!G134</f>
        <v>Изоляция трубопроводов цилиндрами и полуцилиндрами из минеральной ваты на синтетическом связующем</v>
      </c>
      <c r="D470" s="44" t="str">
        <f>Source!H134</f>
        <v>м3</v>
      </c>
      <c r="E470" s="45">
        <f>Source!K134</f>
        <v>0.02</v>
      </c>
      <c r="F470" s="45"/>
      <c r="G470" s="45">
        <f>Source!I134</f>
        <v>0.02</v>
      </c>
      <c r="H470" s="46"/>
      <c r="I470" s="47"/>
      <c r="J470" s="46"/>
      <c r="K470" s="47"/>
      <c r="L470" s="46"/>
    </row>
    <row r="471" spans="1:101" ht="52.8" x14ac:dyDescent="0.25">
      <c r="B471" s="60" t="s">
        <v>137</v>
      </c>
      <c r="C471" s="106" t="s">
        <v>138</v>
      </c>
      <c r="D471" s="106"/>
      <c r="E471" s="106"/>
      <c r="F471" s="106"/>
      <c r="G471" s="106"/>
      <c r="H471" s="106"/>
      <c r="I471" s="106"/>
      <c r="J471" s="106"/>
      <c r="K471" s="106"/>
      <c r="L471" s="106"/>
      <c r="CW471" s="77" t="s">
        <v>138</v>
      </c>
    </row>
    <row r="472" spans="1:101" ht="14.4" x14ac:dyDescent="0.25">
      <c r="A472" s="49"/>
      <c r="B472" s="45">
        <v>1</v>
      </c>
      <c r="C472" s="49" t="s">
        <v>52</v>
      </c>
      <c r="D472" s="44" t="s">
        <v>31</v>
      </c>
      <c r="E472" s="50"/>
      <c r="F472" s="45"/>
      <c r="G472" s="45">
        <f>Source!U134</f>
        <v>0.42435</v>
      </c>
      <c r="H472" s="45"/>
      <c r="I472" s="45"/>
      <c r="J472" s="45"/>
      <c r="K472" s="45"/>
      <c r="L472" s="51">
        <f>SUM(L473:L473)-SUMIF(CE473:CE473,1,L473:L473)</f>
        <v>292.68</v>
      </c>
    </row>
    <row r="473" spans="1:101" ht="14.4" x14ac:dyDescent="0.25">
      <c r="A473" s="43"/>
      <c r="B473" s="43" t="s">
        <v>152</v>
      </c>
      <c r="C473" s="43" t="s">
        <v>153</v>
      </c>
      <c r="D473" s="44" t="s">
        <v>31</v>
      </c>
      <c r="E473" s="45">
        <v>18.45</v>
      </c>
      <c r="F473" s="45">
        <f>ROUND(1.15,7)</f>
        <v>1.1499999999999999</v>
      </c>
      <c r="G473" s="45">
        <f>SmtRes!CX140</f>
        <v>0.42435</v>
      </c>
      <c r="H473" s="46"/>
      <c r="I473" s="47"/>
      <c r="J473" s="46">
        <f>SmtRes!CZ140</f>
        <v>689.72</v>
      </c>
      <c r="K473" s="47"/>
      <c r="L473" s="46">
        <f>SmtRes!DI140</f>
        <v>292.68</v>
      </c>
    </row>
    <row r="474" spans="1:101" ht="14.4" x14ac:dyDescent="0.25">
      <c r="A474" s="49"/>
      <c r="B474" s="45">
        <v>2</v>
      </c>
      <c r="C474" s="49" t="s">
        <v>55</v>
      </c>
      <c r="D474" s="44"/>
      <c r="E474" s="50"/>
      <c r="F474" s="45"/>
      <c r="G474" s="45"/>
      <c r="H474" s="45"/>
      <c r="I474" s="45"/>
      <c r="J474" s="45"/>
      <c r="K474" s="45"/>
      <c r="L474" s="51">
        <f>SUM(L475:L478)-SUMIF(CE475:CE478,1,L475:L478)</f>
        <v>6.870000000000001</v>
      </c>
    </row>
    <row r="475" spans="1:101" ht="14.4" x14ac:dyDescent="0.25">
      <c r="A475" s="49"/>
      <c r="B475" s="45"/>
      <c r="C475" s="49" t="s">
        <v>56</v>
      </c>
      <c r="D475" s="44" t="s">
        <v>31</v>
      </c>
      <c r="E475" s="50"/>
      <c r="F475" s="45"/>
      <c r="G475" s="45">
        <f>Source!V134</f>
        <v>9.2499999999999995E-3</v>
      </c>
      <c r="H475" s="45"/>
      <c r="I475" s="45"/>
      <c r="J475" s="45"/>
      <c r="K475" s="45"/>
      <c r="L475" s="51">
        <f>SUMIF(CE476:CE478,1,L476:L478)</f>
        <v>6.68</v>
      </c>
      <c r="CE475">
        <v>1</v>
      </c>
    </row>
    <row r="476" spans="1:101" ht="27.6" x14ac:dyDescent="0.25">
      <c r="A476" s="43"/>
      <c r="B476" s="43" t="s">
        <v>62</v>
      </c>
      <c r="C476" s="43" t="s">
        <v>63</v>
      </c>
      <c r="D476" s="44" t="s">
        <v>59</v>
      </c>
      <c r="E476" s="45">
        <v>0.37</v>
      </c>
      <c r="F476" s="45">
        <f>ROUND(1.25,7)</f>
        <v>1.25</v>
      </c>
      <c r="G476" s="45">
        <f>SmtRes!CX142</f>
        <v>9.2499999999999995E-3</v>
      </c>
      <c r="H476" s="46"/>
      <c r="I476" s="47"/>
      <c r="J476" s="46">
        <f>SmtRes!CZ142</f>
        <v>643.29</v>
      </c>
      <c r="K476" s="47"/>
      <c r="L476" s="46">
        <f>SmtRes!DG142</f>
        <v>5.95</v>
      </c>
    </row>
    <row r="477" spans="1:101" ht="14.4" x14ac:dyDescent="0.25">
      <c r="A477" s="43"/>
      <c r="B477" s="43" t="s">
        <v>64</v>
      </c>
      <c r="C477" s="43" t="s">
        <v>65</v>
      </c>
      <c r="D477" s="44" t="s">
        <v>31</v>
      </c>
      <c r="E477" s="45">
        <f>SmtRes!DO142*SmtRes!AT142</f>
        <v>0.37</v>
      </c>
      <c r="F477" s="45">
        <f>ROUND(1.25,7)</f>
        <v>1.25</v>
      </c>
      <c r="G477" s="45">
        <f>ROUND(E477*F477*G470,7)</f>
        <v>9.2499999999999995E-3</v>
      </c>
      <c r="H477" s="46"/>
      <c r="I477" s="47"/>
      <c r="J477" s="46">
        <f>ROUND(SmtRes!AG142/SmtRes!DO142,2)</f>
        <v>722.05</v>
      </c>
      <c r="K477" s="47"/>
      <c r="L477" s="46">
        <f>SmtRes!DH142</f>
        <v>6.68</v>
      </c>
      <c r="CE477">
        <v>1</v>
      </c>
    </row>
    <row r="478" spans="1:101" ht="55.2" x14ac:dyDescent="0.25">
      <c r="A478" s="43"/>
      <c r="B478" s="43" t="s">
        <v>154</v>
      </c>
      <c r="C478" s="43" t="s">
        <v>155</v>
      </c>
      <c r="D478" s="44" t="s">
        <v>59</v>
      </c>
      <c r="E478" s="45">
        <v>1.18</v>
      </c>
      <c r="F478" s="45">
        <f>ROUND(1.25,7)</f>
        <v>1.25</v>
      </c>
      <c r="G478" s="45">
        <f>SmtRes!CX143</f>
        <v>2.9499999999999998E-2</v>
      </c>
      <c r="H478" s="46">
        <f>SmtRes!CZ143</f>
        <v>21.39</v>
      </c>
      <c r="I478" s="47">
        <f>SmtRes!AJ143</f>
        <v>1.45</v>
      </c>
      <c r="J478" s="46">
        <f>ROUND(H478*I478,2)</f>
        <v>31.02</v>
      </c>
      <c r="K478" s="47"/>
      <c r="L478" s="46">
        <f>SmtRes!DG143</f>
        <v>0.92</v>
      </c>
    </row>
    <row r="479" spans="1:101" ht="14.4" x14ac:dyDescent="0.25">
      <c r="A479" s="49"/>
      <c r="B479" s="45">
        <v>4</v>
      </c>
      <c r="C479" s="49" t="s">
        <v>66</v>
      </c>
      <c r="D479" s="44"/>
      <c r="E479" s="50"/>
      <c r="F479" s="45"/>
      <c r="G479" s="45"/>
      <c r="H479" s="45"/>
      <c r="I479" s="45"/>
      <c r="J479" s="45"/>
      <c r="K479" s="45"/>
      <c r="L479" s="51">
        <f>SUM(L480:L484)-SUMIF(CE480:CE484,1,L480:L484)</f>
        <v>83.06</v>
      </c>
    </row>
    <row r="480" spans="1:101" ht="69" x14ac:dyDescent="0.25">
      <c r="A480" s="43"/>
      <c r="B480" s="43" t="s">
        <v>156</v>
      </c>
      <c r="C480" s="43" t="s">
        <v>157</v>
      </c>
      <c r="D480" s="44" t="s">
        <v>87</v>
      </c>
      <c r="E480" s="45">
        <v>4.0000000000000003E-5</v>
      </c>
      <c r="F480" s="45"/>
      <c r="G480" s="45">
        <f>SmtRes!CX144</f>
        <v>7.9999999999999996E-7</v>
      </c>
      <c r="H480" s="46">
        <f>SmtRes!CZ144</f>
        <v>263215.45</v>
      </c>
      <c r="I480" s="47">
        <f>SmtRes!AI144</f>
        <v>1.29</v>
      </c>
      <c r="J480" s="46">
        <f>ROUND(H480*I480,2)</f>
        <v>339547.93</v>
      </c>
      <c r="K480" s="47"/>
      <c r="L480" s="46">
        <f>SmtRes!DF144</f>
        <v>0.27</v>
      </c>
    </row>
    <row r="481" spans="1:82" ht="41.4" x14ac:dyDescent="0.25">
      <c r="A481" s="43"/>
      <c r="B481" s="43" t="s">
        <v>158</v>
      </c>
      <c r="C481" s="43" t="s">
        <v>159</v>
      </c>
      <c r="D481" s="44" t="s">
        <v>87</v>
      </c>
      <c r="E481" s="45">
        <v>1.09E-2</v>
      </c>
      <c r="F481" s="45"/>
      <c r="G481" s="45">
        <f>SmtRes!CX145</f>
        <v>2.1800000000000001E-4</v>
      </c>
      <c r="H481" s="46">
        <f>SmtRes!CZ145</f>
        <v>89073.2</v>
      </c>
      <c r="I481" s="47">
        <f>SmtRes!AI145</f>
        <v>0.75</v>
      </c>
      <c r="J481" s="46">
        <f>ROUND(H481*I481,2)</f>
        <v>66804.899999999994</v>
      </c>
      <c r="K481" s="47"/>
      <c r="L481" s="46">
        <f>SmtRes!DF145</f>
        <v>14.56</v>
      </c>
    </row>
    <row r="482" spans="1:82" ht="41.4" x14ac:dyDescent="0.25">
      <c r="A482" s="43"/>
      <c r="B482" s="43" t="s">
        <v>160</v>
      </c>
      <c r="C482" s="43" t="s">
        <v>161</v>
      </c>
      <c r="D482" s="44" t="s">
        <v>87</v>
      </c>
      <c r="E482" s="45">
        <v>1.1000000000000001E-3</v>
      </c>
      <c r="F482" s="45"/>
      <c r="G482" s="45">
        <f>SmtRes!CX146</f>
        <v>2.1999999999999999E-5</v>
      </c>
      <c r="H482" s="46">
        <f>SmtRes!CZ146</f>
        <v>129575.7</v>
      </c>
      <c r="I482" s="47">
        <f>SmtRes!AI146</f>
        <v>0.94</v>
      </c>
      <c r="J482" s="46">
        <f>ROUND(H482*I482,2)</f>
        <v>121801.16</v>
      </c>
      <c r="K482" s="47"/>
      <c r="L482" s="46">
        <f>SmtRes!DF146</f>
        <v>2.68</v>
      </c>
    </row>
    <row r="483" spans="1:82" ht="41.4" x14ac:dyDescent="0.25">
      <c r="A483" s="43"/>
      <c r="B483" s="43" t="s">
        <v>162</v>
      </c>
      <c r="C483" s="43" t="s">
        <v>163</v>
      </c>
      <c r="D483" s="44" t="s">
        <v>87</v>
      </c>
      <c r="E483" s="45">
        <v>4.0000000000000001E-3</v>
      </c>
      <c r="F483" s="45"/>
      <c r="G483" s="45">
        <f>SmtRes!CX147</f>
        <v>8.0000000000000007E-5</v>
      </c>
      <c r="H483" s="46">
        <f>SmtRes!CZ147</f>
        <v>87245.7</v>
      </c>
      <c r="I483" s="47">
        <f>SmtRes!AI147</f>
        <v>0.94</v>
      </c>
      <c r="J483" s="46">
        <f>ROUND(H483*I483,2)</f>
        <v>82010.960000000006</v>
      </c>
      <c r="K483" s="47"/>
      <c r="L483" s="46">
        <f>SmtRes!DF147</f>
        <v>6.56</v>
      </c>
    </row>
    <row r="484" spans="1:82" ht="27.6" x14ac:dyDescent="0.25">
      <c r="A484" s="43"/>
      <c r="B484" s="43" t="s">
        <v>164</v>
      </c>
      <c r="C484" s="43" t="s">
        <v>165</v>
      </c>
      <c r="D484" s="44" t="s">
        <v>87</v>
      </c>
      <c r="E484" s="45">
        <v>3.9E-2</v>
      </c>
      <c r="F484" s="45"/>
      <c r="G484" s="45">
        <f>SmtRes!CX148</f>
        <v>7.7999999999999999E-4</v>
      </c>
      <c r="H484" s="46"/>
      <c r="I484" s="47"/>
      <c r="J484" s="46">
        <f>SmtRes!CZ148</f>
        <v>75628.100000000006</v>
      </c>
      <c r="K484" s="47"/>
      <c r="L484" s="46">
        <f>SmtRes!DF148</f>
        <v>58.99</v>
      </c>
    </row>
    <row r="485" spans="1:82" ht="41.4" x14ac:dyDescent="0.25">
      <c r="A485" s="43"/>
      <c r="B485" s="43" t="str">
        <f>EtalonRes!I149</f>
        <v>12.2.08.03</v>
      </c>
      <c r="C485" s="52" t="str">
        <f>EtalonRes!K149</f>
        <v>Цилиндры и полуцилиндры теплоизоляционные из минваты на синтетическом связующем</v>
      </c>
      <c r="D485" s="53" t="str">
        <f>EtalonRes!O149</f>
        <v>м3</v>
      </c>
      <c r="E485" s="54">
        <f>EtalonRes!X149</f>
        <v>1.032</v>
      </c>
      <c r="F485" s="54"/>
      <c r="G485" s="54">
        <f>ROUND(EtalonRes!AG149*Source!I134,7)</f>
        <v>2.0639999999999999E-2</v>
      </c>
      <c r="H485" s="55"/>
      <c r="I485" s="56"/>
      <c r="J485" s="55"/>
      <c r="K485" s="56"/>
      <c r="L485" s="55"/>
    </row>
    <row r="486" spans="1:82" ht="14.4" x14ac:dyDescent="0.25">
      <c r="A486" s="43"/>
      <c r="B486" s="43"/>
      <c r="C486" s="57" t="s">
        <v>70</v>
      </c>
      <c r="D486" s="44"/>
      <c r="E486" s="45"/>
      <c r="F486" s="45"/>
      <c r="G486" s="45"/>
      <c r="H486" s="46"/>
      <c r="I486" s="47"/>
      <c r="J486" s="46"/>
      <c r="K486" s="47"/>
      <c r="L486" s="46">
        <f>L472+L474+L475+L479</f>
        <v>389.29</v>
      </c>
    </row>
    <row r="487" spans="1:82" ht="138" x14ac:dyDescent="0.25">
      <c r="A487" s="75" t="s">
        <v>291</v>
      </c>
      <c r="B487" s="43" t="str">
        <f>Source!F135</f>
        <v>12.2.08.01-0036</v>
      </c>
      <c r="C487" s="43" t="str">
        <f>Source!G135</f>
        <v>Цилиндры теплоизоляционные из минеральной ваты на основе базальтовых пород, кашированные армированной алюминиевой фольгой, группа горючести Г1, плотность до 100 кг/м3, теплопроводность при +10/+25 °C не более 0,036/0,039 Вт/(м*К), максимальная температура применения +250 °C, толщина стенки 30 мм, внутренний диаметр 76 мм</v>
      </c>
      <c r="D487" s="44" t="str">
        <f>Source!H135</f>
        <v>м</v>
      </c>
      <c r="E487" s="45">
        <f>SmtRes!AT149</f>
        <v>103</v>
      </c>
      <c r="F487" s="45"/>
      <c r="G487" s="45">
        <f>Source!I135</f>
        <v>2.06</v>
      </c>
      <c r="H487" s="46">
        <f>Source!AL135+Source!AO135+Source!AM135+Source!AN135</f>
        <v>340.46</v>
      </c>
      <c r="I487" s="47">
        <f>IF(Source!BC135&lt;&gt;0,Source!BC135,1)</f>
        <v>1.38</v>
      </c>
      <c r="J487" s="46">
        <f>ROUND(H487*I487,2)</f>
        <v>469.83</v>
      </c>
      <c r="K487" s="47"/>
      <c r="L487" s="46">
        <f>Source!P135</f>
        <v>967.85</v>
      </c>
      <c r="AD487">
        <f>ROUND((Source!AT135/100)*((ROUND(ROUND(Source!AO135,2)*Source!I135,2)+ROUND(ROUND(Source!AN135,2)*Source!I135,2))),2)</f>
        <v>0</v>
      </c>
      <c r="AE487">
        <f>ROUND((Source!AU135/100)*((ROUND(ROUND(Source!AO135,2)*Source!I135,2)+ROUND(ROUND(Source!AN135,2)*Source!I135,2))),2)</f>
        <v>0</v>
      </c>
      <c r="AN487">
        <f>L487</f>
        <v>967.85</v>
      </c>
      <c r="AW487">
        <f>L487</f>
        <v>967.85</v>
      </c>
      <c r="AZ487">
        <f>Source!X135</f>
        <v>0</v>
      </c>
      <c r="BA487">
        <f>Source!Y135</f>
        <v>0</v>
      </c>
      <c r="CD487">
        <v>1</v>
      </c>
    </row>
    <row r="488" spans="1:82" ht="14.4" x14ac:dyDescent="0.25">
      <c r="A488" s="43"/>
      <c r="B488" s="43"/>
      <c r="C488" s="43" t="s">
        <v>71</v>
      </c>
      <c r="D488" s="44"/>
      <c r="E488" s="45"/>
      <c r="F488" s="45"/>
      <c r="G488" s="45"/>
      <c r="H488" s="46"/>
      <c r="I488" s="47"/>
      <c r="J488" s="46"/>
      <c r="K488" s="47"/>
      <c r="L488" s="46">
        <f>SUM(AR470:AR491)+SUM(AS470:AS491)+SUM(AT470:AT491)+SUM(AU470:AU491)+SUM(AV470:AV491)</f>
        <v>299.36</v>
      </c>
    </row>
    <row r="489" spans="1:82" ht="27.6" x14ac:dyDescent="0.25">
      <c r="A489" s="43"/>
      <c r="B489" s="43" t="s">
        <v>167</v>
      </c>
      <c r="C489" s="43" t="s">
        <v>168</v>
      </c>
      <c r="D489" s="44" t="s">
        <v>74</v>
      </c>
      <c r="E489" s="45">
        <f>Source!BZ134</f>
        <v>97</v>
      </c>
      <c r="F489" s="45">
        <f>ROUND(0.9,7)</f>
        <v>0.9</v>
      </c>
      <c r="G489" s="45">
        <f>Source!AT134</f>
        <v>87.3</v>
      </c>
      <c r="H489" s="46"/>
      <c r="I489" s="47"/>
      <c r="J489" s="46"/>
      <c r="K489" s="47"/>
      <c r="L489" s="46">
        <f>SUM(AZ470:AZ491)</f>
        <v>261.33999999999997</v>
      </c>
    </row>
    <row r="490" spans="1:82" ht="27.6" x14ac:dyDescent="0.25">
      <c r="A490" s="52"/>
      <c r="B490" s="52" t="s">
        <v>169</v>
      </c>
      <c r="C490" s="52" t="s">
        <v>170</v>
      </c>
      <c r="D490" s="53" t="s">
        <v>74</v>
      </c>
      <c r="E490" s="54">
        <f>Source!CA134</f>
        <v>55</v>
      </c>
      <c r="F490" s="54">
        <f>ROUND(0.85,7)</f>
        <v>0.85</v>
      </c>
      <c r="G490" s="54">
        <f>Source!AU134</f>
        <v>46.75</v>
      </c>
      <c r="H490" s="55"/>
      <c r="I490" s="56"/>
      <c r="J490" s="55"/>
      <c r="K490" s="56"/>
      <c r="L490" s="55">
        <f>SUM(BA470:BA491)</f>
        <v>139.94999999999999</v>
      </c>
    </row>
    <row r="491" spans="1:82" ht="13.8" x14ac:dyDescent="0.25">
      <c r="C491" s="103" t="s">
        <v>77</v>
      </c>
      <c r="D491" s="103"/>
      <c r="E491" s="103"/>
      <c r="F491" s="103"/>
      <c r="G491" s="103"/>
      <c r="H491" s="103"/>
      <c r="I491" s="104">
        <f>IF(E470&lt;&gt;0,K491/E470,0)</f>
        <v>87921.5</v>
      </c>
      <c r="J491" s="104"/>
      <c r="K491" s="104">
        <f>L472+L474+L479+L489+L490+L475+SUM(L487:L487)</f>
        <v>1758.43</v>
      </c>
      <c r="L491" s="104"/>
      <c r="AD491">
        <f>ROUND((Source!AT134/100)*((ROUND(SUMIF(SmtRes!AQ140:'SmtRes'!AQ149,"=1",SmtRes!AD140:'SmtRes'!AD149)*Source!I134,2)+ROUND(SUMIF(SmtRes!AQ140:'SmtRes'!AQ149,"=1",SmtRes!AC140:'SmtRes'!AC149)*Source!I134,2))),2)</f>
        <v>24.64</v>
      </c>
      <c r="AE491">
        <f>ROUND((Source!AU134/100)*((ROUND(SUMIF(SmtRes!AQ140:'SmtRes'!AQ149,"=1",SmtRes!AD140:'SmtRes'!AD149)*Source!I134,2)+ROUND(SUMIF(SmtRes!AQ140:'SmtRes'!AQ149,"=1",SmtRes!AC140:'SmtRes'!AC149)*Source!I134,2))),2)</f>
        <v>13.2</v>
      </c>
      <c r="AN491" s="59">
        <f>L472+L474+L479+L489+L490+L475</f>
        <v>790.58</v>
      </c>
      <c r="AO491" s="59">
        <f>L474</f>
        <v>6.870000000000001</v>
      </c>
      <c r="AQ491" t="s">
        <v>78</v>
      </c>
      <c r="AR491" s="59">
        <f>L472</f>
        <v>292.68</v>
      </c>
      <c r="AT491" s="59">
        <f>L475</f>
        <v>6.68</v>
      </c>
      <c r="AV491" t="s">
        <v>78</v>
      </c>
      <c r="AW491" s="59">
        <f>L479</f>
        <v>83.06</v>
      </c>
      <c r="AZ491">
        <f>Source!X134</f>
        <v>261.33999999999997</v>
      </c>
      <c r="BA491">
        <f>Source!Y134</f>
        <v>139.94999999999999</v>
      </c>
      <c r="CD491">
        <v>1</v>
      </c>
    </row>
    <row r="492" spans="1:82" ht="41.4" x14ac:dyDescent="0.25">
      <c r="A492" s="75" t="s">
        <v>292</v>
      </c>
      <c r="B492" s="43" t="s">
        <v>51</v>
      </c>
      <c r="C492" s="43" t="str">
        <f>Source!G136</f>
        <v>Замена элементов облицовки потолков: реечных без замены каркаса/Демонтаж и монтаж ранее демонтируемого потолка</v>
      </c>
      <c r="D492" s="44" t="str">
        <f>Source!H136</f>
        <v>100 м2</v>
      </c>
      <c r="E492" s="45">
        <f>Source!K136</f>
        <v>0.02</v>
      </c>
      <c r="F492" s="45"/>
      <c r="G492" s="45">
        <f>Source!I136</f>
        <v>0.02</v>
      </c>
      <c r="H492" s="46"/>
      <c r="I492" s="47"/>
      <c r="J492" s="46"/>
      <c r="K492" s="47"/>
      <c r="L492" s="46"/>
    </row>
    <row r="493" spans="1:82" x14ac:dyDescent="0.25">
      <c r="C493" s="48" t="str">
        <f>"Объем: "&amp;Source!I136&amp;"=2/"&amp;"100"</f>
        <v>Объем: 0,02=2/100</v>
      </c>
    </row>
    <row r="494" spans="1:82" ht="14.4" x14ac:dyDescent="0.25">
      <c r="A494" s="49"/>
      <c r="B494" s="45">
        <v>1</v>
      </c>
      <c r="C494" s="49" t="s">
        <v>52</v>
      </c>
      <c r="D494" s="44" t="s">
        <v>31</v>
      </c>
      <c r="E494" s="50"/>
      <c r="F494" s="45"/>
      <c r="G494" s="45">
        <f>Source!U136</f>
        <v>1.3855999999999999</v>
      </c>
      <c r="H494" s="45"/>
      <c r="I494" s="45"/>
      <c r="J494" s="45"/>
      <c r="K494" s="45"/>
      <c r="L494" s="51">
        <f>SUM(L495:L495)-SUMIF(CE495:CE495,1,L495:L495)</f>
        <v>944.47</v>
      </c>
    </row>
    <row r="495" spans="1:82" ht="14.4" x14ac:dyDescent="0.25">
      <c r="A495" s="43"/>
      <c r="B495" s="43" t="s">
        <v>53</v>
      </c>
      <c r="C495" s="43" t="s">
        <v>54</v>
      </c>
      <c r="D495" s="44" t="s">
        <v>31</v>
      </c>
      <c r="E495" s="45">
        <v>69.28</v>
      </c>
      <c r="F495" s="45"/>
      <c r="G495" s="45">
        <f>SmtRes!CX150</f>
        <v>1.3855999999999999</v>
      </c>
      <c r="H495" s="46"/>
      <c r="I495" s="47"/>
      <c r="J495" s="46">
        <f>SmtRes!CZ150</f>
        <v>681.63</v>
      </c>
      <c r="K495" s="47"/>
      <c r="L495" s="46">
        <f>SmtRes!DI150</f>
        <v>944.47</v>
      </c>
    </row>
    <row r="496" spans="1:82" ht="14.4" x14ac:dyDescent="0.25">
      <c r="A496" s="49"/>
      <c r="B496" s="45">
        <v>2</v>
      </c>
      <c r="C496" s="49" t="s">
        <v>55</v>
      </c>
      <c r="D496" s="44"/>
      <c r="E496" s="50"/>
      <c r="F496" s="45"/>
      <c r="G496" s="45"/>
      <c r="H496" s="45"/>
      <c r="I496" s="45"/>
      <c r="J496" s="45"/>
      <c r="K496" s="45"/>
      <c r="L496" s="51">
        <f>SUM(L497:L501)-SUMIF(CE497:CE501,1,L497:L501)</f>
        <v>5.0000000000000044E-2</v>
      </c>
    </row>
    <row r="497" spans="1:83" ht="14.4" x14ac:dyDescent="0.25">
      <c r="A497" s="49"/>
      <c r="B497" s="45"/>
      <c r="C497" s="49" t="s">
        <v>56</v>
      </c>
      <c r="D497" s="44" t="s">
        <v>31</v>
      </c>
      <c r="E497" s="50"/>
      <c r="F497" s="45"/>
      <c r="G497" s="45">
        <f>Source!V136</f>
        <v>4.4000000000000002E-4</v>
      </c>
      <c r="H497" s="45"/>
      <c r="I497" s="45"/>
      <c r="J497" s="45"/>
      <c r="K497" s="45"/>
      <c r="L497" s="51">
        <f>SUMIF(CE498:CE501,1,L498:L501)</f>
        <v>0.29000000000000004</v>
      </c>
      <c r="CE497">
        <v>1</v>
      </c>
    </row>
    <row r="498" spans="1:83" ht="41.4" x14ac:dyDescent="0.25">
      <c r="A498" s="43"/>
      <c r="B498" s="43" t="s">
        <v>57</v>
      </c>
      <c r="C498" s="43" t="s">
        <v>58</v>
      </c>
      <c r="D498" s="44" t="s">
        <v>59</v>
      </c>
      <c r="E498" s="45">
        <v>0.02</v>
      </c>
      <c r="F498" s="45"/>
      <c r="G498" s="45">
        <f>SmtRes!CX152</f>
        <v>4.0000000000000002E-4</v>
      </c>
      <c r="H498" s="46">
        <f>SmtRes!CZ152</f>
        <v>37.32</v>
      </c>
      <c r="I498" s="47">
        <f>SmtRes!AJ152</f>
        <v>1.54</v>
      </c>
      <c r="J498" s="46">
        <f>ROUND(H498*I498,2)</f>
        <v>57.47</v>
      </c>
      <c r="K498" s="47"/>
      <c r="L498" s="46">
        <f>SmtRes!DG152</f>
        <v>0.02</v>
      </c>
    </row>
    <row r="499" spans="1:83" ht="14.4" x14ac:dyDescent="0.25">
      <c r="A499" s="43"/>
      <c r="B499" s="43" t="s">
        <v>60</v>
      </c>
      <c r="C499" s="43" t="s">
        <v>61</v>
      </c>
      <c r="D499" s="44" t="s">
        <v>31</v>
      </c>
      <c r="E499" s="45">
        <f>SmtRes!DO152*SmtRes!AT152</f>
        <v>0.02</v>
      </c>
      <c r="F499" s="45"/>
      <c r="G499" s="45">
        <f>ROUND(E499*G492,7)</f>
        <v>4.0000000000000002E-4</v>
      </c>
      <c r="H499" s="46"/>
      <c r="I499" s="47"/>
      <c r="J499" s="46">
        <f>ROUND(SmtRes!AG152/SmtRes!DO152,2)</f>
        <v>641.22</v>
      </c>
      <c r="K499" s="47"/>
      <c r="L499" s="46">
        <f>SmtRes!DH152</f>
        <v>0.26</v>
      </c>
      <c r="CE499">
        <v>1</v>
      </c>
    </row>
    <row r="500" spans="1:83" ht="27.6" x14ac:dyDescent="0.25">
      <c r="A500" s="43"/>
      <c r="B500" s="43" t="s">
        <v>62</v>
      </c>
      <c r="C500" s="43" t="s">
        <v>63</v>
      </c>
      <c r="D500" s="44" t="s">
        <v>59</v>
      </c>
      <c r="E500" s="45">
        <v>2E-3</v>
      </c>
      <c r="F500" s="45"/>
      <c r="G500" s="45">
        <f>SmtRes!CX153</f>
        <v>4.0000000000000003E-5</v>
      </c>
      <c r="H500" s="46"/>
      <c r="I500" s="47"/>
      <c r="J500" s="46">
        <f>SmtRes!CZ153</f>
        <v>643.29</v>
      </c>
      <c r="K500" s="47"/>
      <c r="L500" s="46">
        <f>SmtRes!DG153</f>
        <v>0.03</v>
      </c>
    </row>
    <row r="501" spans="1:83" ht="14.4" x14ac:dyDescent="0.25">
      <c r="A501" s="43"/>
      <c r="B501" s="43" t="s">
        <v>64</v>
      </c>
      <c r="C501" s="43" t="s">
        <v>65</v>
      </c>
      <c r="D501" s="44" t="s">
        <v>31</v>
      </c>
      <c r="E501" s="45">
        <f>SmtRes!DO153*SmtRes!AT153</f>
        <v>2E-3</v>
      </c>
      <c r="F501" s="45"/>
      <c r="G501" s="45">
        <f>ROUND(E501*G492,7)</f>
        <v>4.0000000000000003E-5</v>
      </c>
      <c r="H501" s="46"/>
      <c r="I501" s="47"/>
      <c r="J501" s="46">
        <f>ROUND(SmtRes!AG153/SmtRes!DO153,2)</f>
        <v>722.05</v>
      </c>
      <c r="K501" s="47"/>
      <c r="L501" s="46">
        <f>SmtRes!DH153</f>
        <v>0.03</v>
      </c>
      <c r="CE501">
        <v>1</v>
      </c>
    </row>
    <row r="502" spans="1:83" ht="14.4" x14ac:dyDescent="0.25">
      <c r="A502" s="49"/>
      <c r="B502" s="45">
        <v>4</v>
      </c>
      <c r="C502" s="49" t="s">
        <v>66</v>
      </c>
      <c r="D502" s="44"/>
      <c r="E502" s="50"/>
      <c r="F502" s="45"/>
      <c r="G502" s="45"/>
      <c r="H502" s="45"/>
      <c r="I502" s="45"/>
      <c r="J502" s="45"/>
      <c r="K502" s="45"/>
      <c r="L502" s="51">
        <f>SUM(L503:L503)-SUMIF(CE503:CE503,1,L503:L503)</f>
        <v>2410.38</v>
      </c>
    </row>
    <row r="503" spans="1:83" ht="41.4" x14ac:dyDescent="0.25">
      <c r="A503" s="43"/>
      <c r="B503" s="43" t="s">
        <v>67</v>
      </c>
      <c r="C503" s="52" t="s">
        <v>68</v>
      </c>
      <c r="D503" s="53" t="s">
        <v>69</v>
      </c>
      <c r="E503" s="54">
        <v>1050</v>
      </c>
      <c r="F503" s="54"/>
      <c r="G503" s="54">
        <f>SmtRes!CX154</f>
        <v>21</v>
      </c>
      <c r="H503" s="55">
        <f>SmtRes!CZ154</f>
        <v>69.989999999999995</v>
      </c>
      <c r="I503" s="56">
        <f>SmtRes!AI154</f>
        <v>1.64</v>
      </c>
      <c r="J503" s="55">
        <f>ROUND(H503*I503,2)</f>
        <v>114.78</v>
      </c>
      <c r="K503" s="56"/>
      <c r="L503" s="55">
        <f>SmtRes!DF154</f>
        <v>2410.38</v>
      </c>
    </row>
    <row r="504" spans="1:83" ht="14.4" x14ac:dyDescent="0.25">
      <c r="A504" s="43"/>
      <c r="B504" s="43"/>
      <c r="C504" s="57" t="s">
        <v>70</v>
      </c>
      <c r="D504" s="44"/>
      <c r="E504" s="45"/>
      <c r="F504" s="45"/>
      <c r="G504" s="45"/>
      <c r="H504" s="46"/>
      <c r="I504" s="47"/>
      <c r="J504" s="46"/>
      <c r="K504" s="47"/>
      <c r="L504" s="46">
        <f>L494+L496+L497+L502</f>
        <v>3355.19</v>
      </c>
    </row>
    <row r="505" spans="1:83" ht="14.4" x14ac:dyDescent="0.25">
      <c r="A505" s="43"/>
      <c r="B505" s="43"/>
      <c r="C505" s="43" t="s">
        <v>71</v>
      </c>
      <c r="D505" s="44"/>
      <c r="E505" s="45"/>
      <c r="F505" s="45"/>
      <c r="G505" s="45"/>
      <c r="H505" s="46"/>
      <c r="I505" s="47"/>
      <c r="J505" s="46"/>
      <c r="K505" s="47"/>
      <c r="L505" s="46">
        <f>SUM(AR492:AR508)+SUM(AS492:AS508)+SUM(AT492:AT508)+SUM(AU492:AU508)+SUM(AV492:AV508)</f>
        <v>944.76</v>
      </c>
    </row>
    <row r="506" spans="1:83" ht="27.6" x14ac:dyDescent="0.25">
      <c r="A506" s="43"/>
      <c r="B506" s="43" t="s">
        <v>72</v>
      </c>
      <c r="C506" s="43" t="s">
        <v>73</v>
      </c>
      <c r="D506" s="44" t="s">
        <v>74</v>
      </c>
      <c r="E506" s="45">
        <f>Source!BZ136</f>
        <v>90</v>
      </c>
      <c r="F506" s="45"/>
      <c r="G506" s="45">
        <f>Source!AT136</f>
        <v>90</v>
      </c>
      <c r="H506" s="46"/>
      <c r="I506" s="47"/>
      <c r="J506" s="46"/>
      <c r="K506" s="47"/>
      <c r="L506" s="46">
        <f>SUM(AZ492:AZ508)</f>
        <v>850.28</v>
      </c>
    </row>
    <row r="507" spans="1:83" ht="27.6" x14ac:dyDescent="0.25">
      <c r="A507" s="52"/>
      <c r="B507" s="52" t="s">
        <v>75</v>
      </c>
      <c r="C507" s="52" t="s">
        <v>76</v>
      </c>
      <c r="D507" s="53" t="s">
        <v>74</v>
      </c>
      <c r="E507" s="54">
        <f>Source!CA136</f>
        <v>45</v>
      </c>
      <c r="F507" s="54"/>
      <c r="G507" s="54">
        <f>Source!AU136</f>
        <v>45</v>
      </c>
      <c r="H507" s="55"/>
      <c r="I507" s="56"/>
      <c r="J507" s="55"/>
      <c r="K507" s="56"/>
      <c r="L507" s="55">
        <f>SUM(BA492:BA508)</f>
        <v>425.14</v>
      </c>
    </row>
    <row r="508" spans="1:83" ht="13.8" x14ac:dyDescent="0.25">
      <c r="C508" s="103" t="s">
        <v>77</v>
      </c>
      <c r="D508" s="103"/>
      <c r="E508" s="103"/>
      <c r="F508" s="103"/>
      <c r="G508" s="103"/>
      <c r="H508" s="103"/>
      <c r="I508" s="104">
        <f>IF(E492&lt;&gt;0,K508/E492,0)</f>
        <v>231530.50000000003</v>
      </c>
      <c r="J508" s="104"/>
      <c r="K508" s="104">
        <f>L494+L496+L502+L506+L507+L497</f>
        <v>4630.6100000000006</v>
      </c>
      <c r="L508" s="104"/>
      <c r="AD508">
        <f>ROUND((Source!AT136/100)*((ROUND(SUMIF(SmtRes!AQ150:'SmtRes'!AQ154,"=1",SmtRes!AD150:'SmtRes'!AD154)*Source!I136,2)+ROUND(SUMIF(SmtRes!AQ150:'SmtRes'!AQ154,"=1",SmtRes!AC150:'SmtRes'!AC154)*Source!I136,2))),2)</f>
        <v>36.81</v>
      </c>
      <c r="AE508">
        <f>ROUND((Source!AU136/100)*((ROUND(SUMIF(SmtRes!AQ150:'SmtRes'!AQ154,"=1",SmtRes!AD150:'SmtRes'!AD154)*Source!I136,2)+ROUND(SUMIF(SmtRes!AQ150:'SmtRes'!AQ154,"=1",SmtRes!AC150:'SmtRes'!AC154)*Source!I136,2))),2)</f>
        <v>18.41</v>
      </c>
      <c r="AN508" s="59">
        <f>L494+L496+L502+L506+L507+L497</f>
        <v>4630.6100000000006</v>
      </c>
      <c r="AO508" s="59">
        <f>L496</f>
        <v>5.0000000000000044E-2</v>
      </c>
      <c r="AQ508" t="s">
        <v>78</v>
      </c>
      <c r="AR508" s="59">
        <f>L494</f>
        <v>944.47</v>
      </c>
      <c r="AT508" s="59">
        <f>L497</f>
        <v>0.29000000000000004</v>
      </c>
      <c r="AV508" t="s">
        <v>78</v>
      </c>
      <c r="AW508" s="59">
        <f>L502</f>
        <v>2410.38</v>
      </c>
      <c r="AZ508">
        <f>Source!X136</f>
        <v>850.28</v>
      </c>
      <c r="BA508">
        <f>Source!Y136</f>
        <v>425.14</v>
      </c>
      <c r="CD508">
        <v>1</v>
      </c>
    </row>
    <row r="509" spans="1:83" ht="41.4" x14ac:dyDescent="0.25">
      <c r="A509" s="76" t="s">
        <v>293</v>
      </c>
      <c r="B509" s="52" t="str">
        <f>Source!F137</f>
        <v>09.2.02.02-0011</v>
      </c>
      <c r="C509" s="52" t="str">
        <f>Source!G137</f>
        <v>Рейка алюминиевая сплошная потолочная S-формы, ширина 100 мм, толщина 0,3 мм</v>
      </c>
      <c r="D509" s="53" t="str">
        <f>Source!H137</f>
        <v>м</v>
      </c>
      <c r="E509" s="54">
        <f>Source!K137</f>
        <v>-21</v>
      </c>
      <c r="F509" s="54"/>
      <c r="G509" s="54">
        <f>Source!I137</f>
        <v>-21</v>
      </c>
      <c r="H509" s="55">
        <f>Source!AL137</f>
        <v>69.989999999999995</v>
      </c>
      <c r="I509" s="56">
        <f>IF(Source!BC137&lt;&gt;0,Source!BC137,1)</f>
        <v>1.64</v>
      </c>
      <c r="J509" s="55">
        <f>ROUND(H509*I509,2)</f>
        <v>114.78</v>
      </c>
      <c r="K509" s="56"/>
      <c r="L509" s="55">
        <f>Source!P137</f>
        <v>-2410.38</v>
      </c>
    </row>
    <row r="510" spans="1:83" ht="13.8" x14ac:dyDescent="0.25">
      <c r="C510" s="103" t="s">
        <v>77</v>
      </c>
      <c r="D510" s="103"/>
      <c r="E510" s="103"/>
      <c r="F510" s="103"/>
      <c r="G510" s="103"/>
      <c r="H510" s="103"/>
      <c r="I510" s="104">
        <f>IF(E509&lt;&gt;0,K510/E509,0)</f>
        <v>114.78</v>
      </c>
      <c r="J510" s="104"/>
      <c r="K510" s="104">
        <f>L509</f>
        <v>-2410.38</v>
      </c>
      <c r="L510" s="104"/>
      <c r="AD510">
        <f>ROUND((Source!AT137/100)*((ROUND(ROUND(Source!AO137,2)*Source!I137,2)+ROUND(ROUND(Source!AN137,2)*Source!I137,2))),2)</f>
        <v>0</v>
      </c>
      <c r="AE510">
        <f>ROUND((Source!AU137/100)*((ROUND(ROUND(Source!AO137,2)*Source!I137,2)+ROUND(ROUND(Source!AN137,2)*Source!I137,2))),2)</f>
        <v>0</v>
      </c>
      <c r="AN510" s="59">
        <f>L509</f>
        <v>-2410.38</v>
      </c>
      <c r="AO510">
        <f>0</f>
        <v>0</v>
      </c>
      <c r="AQ510" t="s">
        <v>78</v>
      </c>
      <c r="AR510">
        <f>0</f>
        <v>0</v>
      </c>
      <c r="AT510">
        <f>0</f>
        <v>0</v>
      </c>
      <c r="AV510" t="s">
        <v>78</v>
      </c>
      <c r="AW510" s="59">
        <f>L509</f>
        <v>-2410.38</v>
      </c>
      <c r="AZ510">
        <f>Source!X137</f>
        <v>0</v>
      </c>
      <c r="BA510">
        <f>Source!Y137</f>
        <v>0</v>
      </c>
      <c r="CD510">
        <v>1</v>
      </c>
    </row>
    <row r="512" spans="1:83" ht="13.8" x14ac:dyDescent="0.25">
      <c r="A512" s="61"/>
      <c r="B512" s="62"/>
      <c r="C512" s="98" t="s">
        <v>171</v>
      </c>
      <c r="D512" s="98"/>
      <c r="E512" s="98"/>
      <c r="F512" s="98"/>
      <c r="G512" s="98"/>
      <c r="H512" s="98"/>
      <c r="I512" s="51"/>
      <c r="J512" s="61"/>
      <c r="K512" s="63"/>
      <c r="L512" s="51">
        <f>L514+L515+L521+L525</f>
        <v>6450.53</v>
      </c>
    </row>
    <row r="513" spans="1:12" ht="13.8" x14ac:dyDescent="0.25">
      <c r="A513" s="64"/>
      <c r="B513" s="65"/>
      <c r="C513" s="101" t="s">
        <v>172</v>
      </c>
      <c r="D513" s="97"/>
      <c r="E513" s="97"/>
      <c r="F513" s="97"/>
      <c r="G513" s="97"/>
      <c r="H513" s="97"/>
      <c r="I513" s="46"/>
      <c r="J513" s="64"/>
      <c r="K513" s="45"/>
      <c r="L513" s="46"/>
    </row>
    <row r="514" spans="1:12" ht="13.8" x14ac:dyDescent="0.25">
      <c r="A514" s="64"/>
      <c r="B514" s="65"/>
      <c r="C514" s="97" t="s">
        <v>173</v>
      </c>
      <c r="D514" s="97"/>
      <c r="E514" s="97"/>
      <c r="F514" s="97"/>
      <c r="G514" s="97"/>
      <c r="H514" s="97"/>
      <c r="I514" s="46"/>
      <c r="J514" s="64"/>
      <c r="K514" s="45"/>
      <c r="L514" s="46">
        <f>SUM(AR399:AR510)</f>
        <v>3808.92</v>
      </c>
    </row>
    <row r="515" spans="1:12" ht="13.8" hidden="1" x14ac:dyDescent="0.25">
      <c r="A515" s="64"/>
      <c r="B515" s="65"/>
      <c r="C515" s="97" t="s">
        <v>174</v>
      </c>
      <c r="D515" s="97"/>
      <c r="E515" s="97"/>
      <c r="F515" s="97"/>
      <c r="G515" s="97"/>
      <c r="H515" s="97"/>
      <c r="I515" s="46"/>
      <c r="J515" s="64"/>
      <c r="K515" s="45"/>
      <c r="L515" s="46">
        <f>L517+L520+L519</f>
        <v>47.240000000000009</v>
      </c>
    </row>
    <row r="516" spans="1:12" ht="13.8" hidden="1" x14ac:dyDescent="0.25">
      <c r="A516" s="64"/>
      <c r="B516" s="65"/>
      <c r="C516" s="101" t="s">
        <v>175</v>
      </c>
      <c r="D516" s="97"/>
      <c r="E516" s="97"/>
      <c r="F516" s="97"/>
      <c r="G516" s="97"/>
      <c r="H516" s="97"/>
      <c r="I516" s="46"/>
      <c r="J516" s="64"/>
      <c r="K516" s="45"/>
      <c r="L516" s="46"/>
    </row>
    <row r="517" spans="1:12" ht="13.8" x14ac:dyDescent="0.25">
      <c r="A517" s="64"/>
      <c r="B517" s="65"/>
      <c r="C517" s="97" t="s">
        <v>174</v>
      </c>
      <c r="D517" s="97"/>
      <c r="E517" s="97"/>
      <c r="F517" s="97"/>
      <c r="G517" s="97"/>
      <c r="H517" s="97"/>
      <c r="I517" s="46"/>
      <c r="J517" s="64"/>
      <c r="K517" s="45"/>
      <c r="L517" s="46">
        <f>SUM(AO399:AO510)</f>
        <v>30.090000000000007</v>
      </c>
    </row>
    <row r="518" spans="1:12" ht="13.8" hidden="1" x14ac:dyDescent="0.25">
      <c r="A518" s="64"/>
      <c r="B518" s="65"/>
      <c r="C518" s="101" t="s">
        <v>176</v>
      </c>
      <c r="D518" s="97"/>
      <c r="E518" s="97"/>
      <c r="F518" s="97"/>
      <c r="G518" s="97"/>
      <c r="H518" s="97"/>
      <c r="I518" s="46"/>
      <c r="J518" s="64"/>
      <c r="K518" s="45"/>
      <c r="L518" s="46"/>
    </row>
    <row r="519" spans="1:12" ht="13.8" x14ac:dyDescent="0.25">
      <c r="A519" s="64"/>
      <c r="B519" s="65"/>
      <c r="C519" s="97" t="s">
        <v>177</v>
      </c>
      <c r="D519" s="97"/>
      <c r="E519" s="97"/>
      <c r="F519" s="97"/>
      <c r="G519" s="97"/>
      <c r="H519" s="97"/>
      <c r="I519" s="46"/>
      <c r="J519" s="64"/>
      <c r="K519" s="45"/>
      <c r="L519" s="46">
        <f>SUM(AT399:AT510)</f>
        <v>17.149999999999999</v>
      </c>
    </row>
    <row r="520" spans="1:12" ht="13.8" hidden="1" x14ac:dyDescent="0.25">
      <c r="A520" s="64"/>
      <c r="B520" s="65"/>
      <c r="C520" s="97" t="s">
        <v>178</v>
      </c>
      <c r="D520" s="97"/>
      <c r="E520" s="97"/>
      <c r="F520" s="97"/>
      <c r="G520" s="97"/>
      <c r="H520" s="97"/>
      <c r="I520" s="46"/>
      <c r="J520" s="64"/>
      <c r="K520" s="45"/>
      <c r="L520" s="46">
        <f>SUM(AV399:AV510)</f>
        <v>0</v>
      </c>
    </row>
    <row r="521" spans="1:12" ht="13.8" x14ac:dyDescent="0.25">
      <c r="A521" s="64"/>
      <c r="B521" s="65"/>
      <c r="C521" s="97" t="s">
        <v>179</v>
      </c>
      <c r="D521" s="97"/>
      <c r="E521" s="97"/>
      <c r="F521" s="97"/>
      <c r="G521" s="97"/>
      <c r="H521" s="97"/>
      <c r="I521" s="46"/>
      <c r="J521" s="64"/>
      <c r="K521" s="45"/>
      <c r="L521" s="46">
        <f>L523+L524</f>
        <v>2594.37</v>
      </c>
    </row>
    <row r="522" spans="1:12" ht="13.8" x14ac:dyDescent="0.25">
      <c r="A522" s="64"/>
      <c r="B522" s="65"/>
      <c r="C522" s="101" t="s">
        <v>175</v>
      </c>
      <c r="D522" s="97"/>
      <c r="E522" s="97"/>
      <c r="F522" s="97"/>
      <c r="G522" s="97"/>
      <c r="H522" s="97"/>
      <c r="I522" s="46"/>
      <c r="J522" s="64"/>
      <c r="K522" s="45"/>
      <c r="L522" s="46"/>
    </row>
    <row r="523" spans="1:12" ht="13.8" x14ac:dyDescent="0.25">
      <c r="A523" s="64"/>
      <c r="B523" s="65"/>
      <c r="C523" s="97" t="s">
        <v>180</v>
      </c>
      <c r="D523" s="97"/>
      <c r="E523" s="97"/>
      <c r="F523" s="97"/>
      <c r="G523" s="97"/>
      <c r="H523" s="97"/>
      <c r="I523" s="46"/>
      <c r="J523" s="64"/>
      <c r="K523" s="45"/>
      <c r="L523" s="46">
        <f>SUM(AW399:AW510)-SUM(BK399:BK510)</f>
        <v>2594.37</v>
      </c>
    </row>
    <row r="524" spans="1:12" ht="13.8" hidden="1" x14ac:dyDescent="0.25">
      <c r="A524" s="64"/>
      <c r="B524" s="65"/>
      <c r="C524" s="97" t="s">
        <v>181</v>
      </c>
      <c r="D524" s="97"/>
      <c r="E524" s="97"/>
      <c r="F524" s="97"/>
      <c r="G524" s="97"/>
      <c r="H524" s="97"/>
      <c r="I524" s="46"/>
      <c r="J524" s="64"/>
      <c r="K524" s="45"/>
      <c r="L524" s="46">
        <f>SUM(BC399:BC510)</f>
        <v>0</v>
      </c>
    </row>
    <row r="525" spans="1:12" ht="13.8" hidden="1" x14ac:dyDescent="0.25">
      <c r="A525" s="64"/>
      <c r="B525" s="65"/>
      <c r="C525" s="97" t="s">
        <v>182</v>
      </c>
      <c r="D525" s="97"/>
      <c r="E525" s="97"/>
      <c r="F525" s="97"/>
      <c r="G525" s="97"/>
      <c r="H525" s="97"/>
      <c r="I525" s="46"/>
      <c r="J525" s="64"/>
      <c r="K525" s="45"/>
      <c r="L525" s="46">
        <f>SUM(BB399:BB510)</f>
        <v>0</v>
      </c>
    </row>
    <row r="526" spans="1:12" ht="13.8" x14ac:dyDescent="0.25">
      <c r="A526" s="64"/>
      <c r="B526" s="65"/>
      <c r="C526" s="97" t="s">
        <v>183</v>
      </c>
      <c r="D526" s="97"/>
      <c r="E526" s="97"/>
      <c r="F526" s="97"/>
      <c r="G526" s="97"/>
      <c r="H526" s="97"/>
      <c r="I526" s="46"/>
      <c r="J526" s="64"/>
      <c r="K526" s="45"/>
      <c r="L526" s="46">
        <f>SUM(AR399:AR510)+SUM(AT399:AT510)+SUM(AV399:AV510)</f>
        <v>3826.07</v>
      </c>
    </row>
    <row r="527" spans="1:12" ht="13.8" x14ac:dyDescent="0.25">
      <c r="A527" s="64"/>
      <c r="B527" s="65"/>
      <c r="C527" s="97" t="s">
        <v>184</v>
      </c>
      <c r="D527" s="97"/>
      <c r="E527" s="97"/>
      <c r="F527" s="97"/>
      <c r="G527" s="97"/>
      <c r="H527" s="97"/>
      <c r="I527" s="46"/>
      <c r="J527" s="64"/>
      <c r="K527" s="45"/>
      <c r="L527" s="46">
        <f>SUM(AZ399:AZ510)</f>
        <v>3731.6800000000003</v>
      </c>
    </row>
    <row r="528" spans="1:12" ht="13.8" x14ac:dyDescent="0.25">
      <c r="A528" s="64"/>
      <c r="B528" s="65"/>
      <c r="C528" s="97" t="s">
        <v>185</v>
      </c>
      <c r="D528" s="97"/>
      <c r="E528" s="97"/>
      <c r="F528" s="97"/>
      <c r="G528" s="97"/>
      <c r="H528" s="97"/>
      <c r="I528" s="46"/>
      <c r="J528" s="64"/>
      <c r="K528" s="45"/>
      <c r="L528" s="46">
        <f>SUM(BA399:BA510)</f>
        <v>1879.1799999999998</v>
      </c>
    </row>
    <row r="529" spans="1:12" ht="13.8" hidden="1" x14ac:dyDescent="0.25">
      <c r="A529" s="64"/>
      <c r="B529" s="65"/>
      <c r="C529" s="97" t="s">
        <v>186</v>
      </c>
      <c r="D529" s="97"/>
      <c r="E529" s="97"/>
      <c r="F529" s="97"/>
      <c r="G529" s="97"/>
      <c r="H529" s="97"/>
      <c r="I529" s="46"/>
      <c r="J529" s="64"/>
      <c r="K529" s="45"/>
      <c r="L529" s="46">
        <f>L531+L532</f>
        <v>0</v>
      </c>
    </row>
    <row r="530" spans="1:12" ht="13.8" hidden="1" x14ac:dyDescent="0.25">
      <c r="A530" s="64"/>
      <c r="B530" s="65"/>
      <c r="C530" s="101" t="s">
        <v>172</v>
      </c>
      <c r="D530" s="97"/>
      <c r="E530" s="97"/>
      <c r="F530" s="97"/>
      <c r="G530" s="97"/>
      <c r="H530" s="97"/>
      <c r="I530" s="46"/>
      <c r="J530" s="64"/>
      <c r="K530" s="45"/>
      <c r="L530" s="46"/>
    </row>
    <row r="531" spans="1:12" ht="13.8" hidden="1" x14ac:dyDescent="0.25">
      <c r="A531" s="64"/>
      <c r="B531" s="65"/>
      <c r="C531" s="97" t="s">
        <v>187</v>
      </c>
      <c r="D531" s="97"/>
      <c r="E531" s="97"/>
      <c r="F531" s="97"/>
      <c r="G531" s="97"/>
      <c r="H531" s="97"/>
      <c r="I531" s="46"/>
      <c r="J531" s="64"/>
      <c r="K531" s="45"/>
      <c r="L531" s="46">
        <f>SUM(BK399:BK510)</f>
        <v>0</v>
      </c>
    </row>
    <row r="532" spans="1:12" ht="13.8" hidden="1" x14ac:dyDescent="0.25">
      <c r="A532" s="64"/>
      <c r="B532" s="65"/>
      <c r="C532" s="97" t="s">
        <v>188</v>
      </c>
      <c r="D532" s="97"/>
      <c r="E532" s="97"/>
      <c r="F532" s="97"/>
      <c r="G532" s="97"/>
      <c r="H532" s="97"/>
      <c r="I532" s="46"/>
      <c r="J532" s="64"/>
      <c r="K532" s="45"/>
      <c r="L532" s="46">
        <f>SUM(BD399:BD510)</f>
        <v>0</v>
      </c>
    </row>
    <row r="533" spans="1:12" ht="13.8" hidden="1" x14ac:dyDescent="0.25">
      <c r="A533" s="64"/>
      <c r="B533" s="65"/>
      <c r="C533" s="97" t="s">
        <v>189</v>
      </c>
      <c r="D533" s="97"/>
      <c r="E533" s="97"/>
      <c r="F533" s="97"/>
      <c r="G533" s="97"/>
      <c r="H533" s="97"/>
      <c r="I533" s="46"/>
      <c r="J533" s="64"/>
      <c r="K533" s="45"/>
      <c r="L533" s="46"/>
    </row>
    <row r="534" spans="1:12" ht="13.8" hidden="1" x14ac:dyDescent="0.25">
      <c r="A534" s="64"/>
      <c r="B534" s="65"/>
      <c r="C534" s="97" t="s">
        <v>189</v>
      </c>
      <c r="D534" s="97"/>
      <c r="E534" s="97"/>
      <c r="F534" s="97"/>
      <c r="G534" s="97"/>
      <c r="H534" s="97"/>
      <c r="I534" s="46"/>
      <c r="J534" s="64"/>
      <c r="K534" s="45"/>
      <c r="L534" s="46">
        <f>SUM(BQ399:BQ510)</f>
        <v>0</v>
      </c>
    </row>
    <row r="535" spans="1:12" ht="13.8" hidden="1" x14ac:dyDescent="0.25">
      <c r="A535" s="64"/>
      <c r="B535" s="65"/>
      <c r="C535" s="97" t="s">
        <v>190</v>
      </c>
      <c r="D535" s="97"/>
      <c r="E535" s="97"/>
      <c r="F535" s="97"/>
      <c r="G535" s="97"/>
      <c r="H535" s="97"/>
      <c r="I535" s="46"/>
      <c r="J535" s="64"/>
      <c r="K535" s="45"/>
      <c r="L535" s="46">
        <f>SUM(BO399:BO510)</f>
        <v>0</v>
      </c>
    </row>
    <row r="536" spans="1:12" ht="13.8" x14ac:dyDescent="0.25">
      <c r="A536" s="61"/>
      <c r="B536" s="62"/>
      <c r="C536" s="98" t="s">
        <v>191</v>
      </c>
      <c r="D536" s="98"/>
      <c r="E536" s="98"/>
      <c r="F536" s="98"/>
      <c r="G536" s="98"/>
      <c r="H536" s="98"/>
      <c r="I536" s="51"/>
      <c r="J536" s="61"/>
      <c r="K536" s="63"/>
      <c r="L536" s="51">
        <f>L512+L527+L528+L529+L534+L535</f>
        <v>12061.39</v>
      </c>
    </row>
    <row r="537" spans="1:12" ht="13.8" x14ac:dyDescent="0.25">
      <c r="A537" s="64"/>
      <c r="B537" s="65"/>
      <c r="C537" s="101" t="s">
        <v>192</v>
      </c>
      <c r="D537" s="97"/>
      <c r="E537" s="97"/>
      <c r="F537" s="97"/>
      <c r="G537" s="97"/>
      <c r="H537" s="97"/>
      <c r="I537" s="46"/>
      <c r="J537" s="64"/>
      <c r="K537" s="45"/>
      <c r="L537" s="46"/>
    </row>
    <row r="538" spans="1:12" ht="13.8" hidden="1" x14ac:dyDescent="0.25">
      <c r="A538" s="64"/>
      <c r="B538" s="65"/>
      <c r="C538" s="97" t="s">
        <v>193</v>
      </c>
      <c r="D538" s="97"/>
      <c r="E538" s="97"/>
      <c r="F538" s="97"/>
      <c r="G538" s="97"/>
      <c r="H538" s="97"/>
      <c r="I538" s="46"/>
      <c r="J538" s="64"/>
      <c r="K538" s="45"/>
      <c r="L538" s="46">
        <f>SUM(AX399:AX510)</f>
        <v>0</v>
      </c>
    </row>
    <row r="539" spans="1:12" ht="13.8" hidden="1" x14ac:dyDescent="0.25">
      <c r="A539" s="64"/>
      <c r="B539" s="65"/>
      <c r="C539" s="97" t="s">
        <v>194</v>
      </c>
      <c r="D539" s="97"/>
      <c r="E539" s="97"/>
      <c r="F539" s="97"/>
      <c r="G539" s="97"/>
      <c r="H539" s="97"/>
      <c r="I539" s="46"/>
      <c r="J539" s="64"/>
      <c r="K539" s="45"/>
      <c r="L539" s="46">
        <f>SUM(AY399:AY510)</f>
        <v>0</v>
      </c>
    </row>
    <row r="540" spans="1:12" ht="13.8" x14ac:dyDescent="0.25">
      <c r="A540" s="64"/>
      <c r="B540" s="65"/>
      <c r="C540" s="97" t="s">
        <v>195</v>
      </c>
      <c r="D540" s="97"/>
      <c r="E540" s="97"/>
      <c r="F540" s="99"/>
      <c r="G540" s="50">
        <f>Source!F161</f>
        <v>5.3934343</v>
      </c>
      <c r="H540" s="64"/>
      <c r="I540" s="64"/>
      <c r="J540" s="64"/>
      <c r="K540" s="64"/>
      <c r="L540" s="64"/>
    </row>
    <row r="541" spans="1:12" ht="13.8" x14ac:dyDescent="0.25">
      <c r="A541" s="64"/>
      <c r="B541" s="65"/>
      <c r="C541" s="97" t="s">
        <v>196</v>
      </c>
      <c r="D541" s="97"/>
      <c r="E541" s="97"/>
      <c r="F541" s="99"/>
      <c r="G541" s="50">
        <f>Source!F162</f>
        <v>2.4568099999999999E-2</v>
      </c>
      <c r="H541" s="64"/>
      <c r="I541" s="64"/>
      <c r="J541" s="64"/>
      <c r="K541" s="64"/>
      <c r="L541" s="64"/>
    </row>
    <row r="544" spans="1:12" ht="16.8" x14ac:dyDescent="0.25">
      <c r="A544" s="105" t="s">
        <v>294</v>
      </c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</row>
    <row r="545" spans="1:82" ht="27.6" x14ac:dyDescent="0.25">
      <c r="A545" s="75" t="s">
        <v>295</v>
      </c>
      <c r="B545" s="43" t="s">
        <v>296</v>
      </c>
      <c r="C545" s="43" t="str">
        <f>Source!G173</f>
        <v>Затаривание строительного мусора в мешки</v>
      </c>
      <c r="D545" s="44" t="str">
        <f>Source!H173</f>
        <v>т</v>
      </c>
      <c r="E545" s="45">
        <f>Source!K173</f>
        <v>0.12839999999999999</v>
      </c>
      <c r="F545" s="45"/>
      <c r="G545" s="45">
        <f>Source!I173</f>
        <v>0.12839999999999999</v>
      </c>
      <c r="H545" s="46"/>
      <c r="I545" s="47"/>
      <c r="J545" s="46"/>
      <c r="K545" s="47"/>
      <c r="L545" s="46"/>
    </row>
    <row r="546" spans="1:82" ht="14.4" x14ac:dyDescent="0.25">
      <c r="A546" s="49"/>
      <c r="B546" s="45">
        <v>1</v>
      </c>
      <c r="C546" s="49" t="s">
        <v>52</v>
      </c>
      <c r="D546" s="44" t="s">
        <v>31</v>
      </c>
      <c r="E546" s="50"/>
      <c r="F546" s="45"/>
      <c r="G546" s="45">
        <f>Source!U173</f>
        <v>0.13225200000000001</v>
      </c>
      <c r="H546" s="45"/>
      <c r="I546" s="45"/>
      <c r="J546" s="45"/>
      <c r="K546" s="45"/>
      <c r="L546" s="51">
        <f>SUM(L547:L547)-SUMIF(CE547:CE547,1,L547:L547)</f>
        <v>71.260000000000005</v>
      </c>
    </row>
    <row r="547" spans="1:82" ht="14.4" x14ac:dyDescent="0.25">
      <c r="A547" s="43"/>
      <c r="B547" s="43" t="s">
        <v>297</v>
      </c>
      <c r="C547" s="43" t="s">
        <v>298</v>
      </c>
      <c r="D547" s="44" t="s">
        <v>31</v>
      </c>
      <c r="E547" s="45">
        <v>1.03</v>
      </c>
      <c r="F547" s="45"/>
      <c r="G547" s="45">
        <f>SmtRes!CX155</f>
        <v>0.13225200000000001</v>
      </c>
      <c r="H547" s="46"/>
      <c r="I547" s="47"/>
      <c r="J547" s="46">
        <f>SmtRes!CZ155</f>
        <v>538.85</v>
      </c>
      <c r="K547" s="47"/>
      <c r="L547" s="46">
        <f>SmtRes!DI155</f>
        <v>71.260000000000005</v>
      </c>
    </row>
    <row r="548" spans="1:82" ht="14.4" x14ac:dyDescent="0.25">
      <c r="A548" s="49"/>
      <c r="B548" s="45">
        <v>4</v>
      </c>
      <c r="C548" s="49" t="s">
        <v>66</v>
      </c>
      <c r="D548" s="44"/>
      <c r="E548" s="50"/>
      <c r="F548" s="45"/>
      <c r="G548" s="45"/>
      <c r="H548" s="45"/>
      <c r="I548" s="45"/>
      <c r="J548" s="45"/>
      <c r="K548" s="45"/>
      <c r="L548" s="51">
        <f>SUM(L549:L549)-SUMIF(CE549:CE549,1,L549:L549)</f>
        <v>72.31</v>
      </c>
    </row>
    <row r="549" spans="1:82" ht="27.6" x14ac:dyDescent="0.25">
      <c r="A549" s="43"/>
      <c r="B549" s="43" t="s">
        <v>299</v>
      </c>
      <c r="C549" s="52" t="s">
        <v>300</v>
      </c>
      <c r="D549" s="53" t="s">
        <v>228</v>
      </c>
      <c r="E549" s="54">
        <v>0.2</v>
      </c>
      <c r="F549" s="54"/>
      <c r="G549" s="54">
        <f>SmtRes!CX156</f>
        <v>2.5680000000000001E-2</v>
      </c>
      <c r="H549" s="55">
        <f>SmtRes!CZ156</f>
        <v>1828.55</v>
      </c>
      <c r="I549" s="56">
        <f>SmtRes!AI156</f>
        <v>1.54</v>
      </c>
      <c r="J549" s="55">
        <f>ROUND(H549*I549,2)</f>
        <v>2815.97</v>
      </c>
      <c r="K549" s="56"/>
      <c r="L549" s="55">
        <f>SmtRes!DF156</f>
        <v>72.31</v>
      </c>
    </row>
    <row r="550" spans="1:82" ht="14.4" x14ac:dyDescent="0.25">
      <c r="A550" s="43"/>
      <c r="B550" s="43"/>
      <c r="C550" s="57" t="s">
        <v>70</v>
      </c>
      <c r="D550" s="44"/>
      <c r="E550" s="45"/>
      <c r="F550" s="45"/>
      <c r="G550" s="45"/>
      <c r="H550" s="46"/>
      <c r="I550" s="47"/>
      <c r="J550" s="46"/>
      <c r="K550" s="47"/>
      <c r="L550" s="46">
        <f>L546+L548</f>
        <v>143.57</v>
      </c>
    </row>
    <row r="551" spans="1:82" ht="14.4" x14ac:dyDescent="0.25">
      <c r="A551" s="43"/>
      <c r="B551" s="43"/>
      <c r="C551" s="43" t="s">
        <v>71</v>
      </c>
      <c r="D551" s="44"/>
      <c r="E551" s="45"/>
      <c r="F551" s="45"/>
      <c r="G551" s="45"/>
      <c r="H551" s="46"/>
      <c r="I551" s="47"/>
      <c r="J551" s="46"/>
      <c r="K551" s="47"/>
      <c r="L551" s="46">
        <f>SUM(AR545:AR554)+SUM(AS545:AS554)+SUM(AT545:AT554)+SUM(AU545:AU554)+SUM(AV545:AV554)</f>
        <v>71.260000000000005</v>
      </c>
    </row>
    <row r="552" spans="1:82" ht="27.6" x14ac:dyDescent="0.25">
      <c r="A552" s="43"/>
      <c r="B552" s="43" t="s">
        <v>301</v>
      </c>
      <c r="C552" s="43" t="s">
        <v>302</v>
      </c>
      <c r="D552" s="44" t="s">
        <v>74</v>
      </c>
      <c r="E552" s="45">
        <f>Source!BZ173</f>
        <v>92</v>
      </c>
      <c r="F552" s="45"/>
      <c r="G552" s="45">
        <f>Source!AT173</f>
        <v>92</v>
      </c>
      <c r="H552" s="46"/>
      <c r="I552" s="47"/>
      <c r="J552" s="46"/>
      <c r="K552" s="47"/>
      <c r="L552" s="46">
        <f>SUM(AZ545:AZ554)</f>
        <v>65.56</v>
      </c>
    </row>
    <row r="553" spans="1:82" ht="27.6" x14ac:dyDescent="0.25">
      <c r="A553" s="52"/>
      <c r="B553" s="52" t="s">
        <v>303</v>
      </c>
      <c r="C553" s="52" t="s">
        <v>304</v>
      </c>
      <c r="D553" s="53" t="s">
        <v>74</v>
      </c>
      <c r="E553" s="54">
        <f>Source!CA173</f>
        <v>44</v>
      </c>
      <c r="F553" s="54"/>
      <c r="G553" s="54">
        <f>Source!AU173</f>
        <v>44</v>
      </c>
      <c r="H553" s="55"/>
      <c r="I553" s="56"/>
      <c r="J553" s="55"/>
      <c r="K553" s="56"/>
      <c r="L553" s="55">
        <f>SUM(BA545:BA554)</f>
        <v>31.35</v>
      </c>
    </row>
    <row r="554" spans="1:82" ht="13.8" x14ac:dyDescent="0.25">
      <c r="C554" s="103" t="s">
        <v>77</v>
      </c>
      <c r="D554" s="103"/>
      <c r="E554" s="103"/>
      <c r="F554" s="103"/>
      <c r="G554" s="103"/>
      <c r="H554" s="103"/>
      <c r="I554" s="104">
        <f>IF(E545&lt;&gt;0,K554/E545,0)</f>
        <v>1872.8971962616824</v>
      </c>
      <c r="J554" s="104"/>
      <c r="K554" s="104">
        <f>L546+L548+L552+L553</f>
        <v>240.48</v>
      </c>
      <c r="L554" s="104"/>
      <c r="AD554">
        <f>ROUND((Source!AT173/100)*((ROUND(SUMIF(SmtRes!AQ155:'SmtRes'!AQ156,"=1",SmtRes!AD155:'SmtRes'!AD156)*Source!I173,2)+ROUND(SUMIF(SmtRes!AQ155:'SmtRes'!AQ156,"=1",SmtRes!AC155:'SmtRes'!AC156)*Source!I173,2))),2)</f>
        <v>63.65</v>
      </c>
      <c r="AE554">
        <f>ROUND((Source!AU173/100)*((ROUND(SUMIF(SmtRes!AQ155:'SmtRes'!AQ156,"=1",SmtRes!AD155:'SmtRes'!AD156)*Source!I173,2)+ROUND(SUMIF(SmtRes!AQ155:'SmtRes'!AQ156,"=1",SmtRes!AC155:'SmtRes'!AC156)*Source!I173,2))),2)</f>
        <v>30.44</v>
      </c>
      <c r="AN554" s="59">
        <f>L546+L548+L552+L553</f>
        <v>240.48</v>
      </c>
      <c r="AO554">
        <f>0</f>
        <v>0</v>
      </c>
      <c r="AQ554" t="s">
        <v>78</v>
      </c>
      <c r="AR554" s="59">
        <f>L546</f>
        <v>71.260000000000005</v>
      </c>
      <c r="AT554">
        <f>0</f>
        <v>0</v>
      </c>
      <c r="AV554" t="s">
        <v>78</v>
      </c>
      <c r="AW554" s="59">
        <f>L548</f>
        <v>72.31</v>
      </c>
      <c r="AZ554">
        <f>Source!X173</f>
        <v>65.56</v>
      </c>
      <c r="BA554">
        <f>Source!Y173</f>
        <v>31.35</v>
      </c>
      <c r="CD554">
        <v>1</v>
      </c>
    </row>
    <row r="555" spans="1:82" ht="27.6" x14ac:dyDescent="0.25">
      <c r="A555" s="76" t="s">
        <v>305</v>
      </c>
      <c r="B555" s="52" t="s">
        <v>306</v>
      </c>
      <c r="C555" s="52" t="str">
        <f>Source!G174</f>
        <v>Погрузка в автотранспортное средство: мусор строительный с погрузкой вручную</v>
      </c>
      <c r="D555" s="53" t="str">
        <f>Source!H174</f>
        <v>1т груза</v>
      </c>
      <c r="E555" s="54">
        <f>Source!K174</f>
        <v>0.12839999999999999</v>
      </c>
      <c r="F555" s="54"/>
      <c r="G555" s="54">
        <f>Source!I174</f>
        <v>0.12839999999999999</v>
      </c>
      <c r="H555" s="55"/>
      <c r="I555" s="56"/>
      <c r="J555" s="55">
        <f>Source!AK174</f>
        <v>1498.11</v>
      </c>
      <c r="K555" s="56"/>
      <c r="L555" s="55">
        <f>Source!HD174</f>
        <v>192.36</v>
      </c>
    </row>
    <row r="556" spans="1:82" ht="13.8" x14ac:dyDescent="0.25">
      <c r="C556" s="103" t="s">
        <v>77</v>
      </c>
      <c r="D556" s="103"/>
      <c r="E556" s="103"/>
      <c r="F556" s="103"/>
      <c r="G556" s="103"/>
      <c r="H556" s="103"/>
      <c r="I556" s="104">
        <f>IF(E555&lt;&gt;0,K556/E555,0)</f>
        <v>1498.1308411214957</v>
      </c>
      <c r="J556" s="104"/>
      <c r="K556" s="104">
        <f>L555</f>
        <v>192.36</v>
      </c>
      <c r="L556" s="104"/>
      <c r="AD556">
        <f>ROUND((Source!AT174/100)*((ROUND(0*Source!I174,2)+ROUND(0*Source!I174,2))),2)</f>
        <v>0</v>
      </c>
      <c r="AE556">
        <f>ROUND((Source!AU174/100)*((ROUND(0*Source!I174,2)+ROUND(0*Source!I174,2))),2)</f>
        <v>0</v>
      </c>
      <c r="AN556" s="59">
        <f>L555</f>
        <v>192.36</v>
      </c>
      <c r="AP556">
        <f>0</f>
        <v>0</v>
      </c>
      <c r="AQ556" t="s">
        <v>78</v>
      </c>
      <c r="AS556">
        <f>0</f>
        <v>0</v>
      </c>
      <c r="AU556">
        <f>0</f>
        <v>0</v>
      </c>
      <c r="AV556" t="s">
        <v>78</v>
      </c>
      <c r="AZ556">
        <f>Source!X174</f>
        <v>0</v>
      </c>
      <c r="BA556">
        <f>Source!Y174</f>
        <v>0</v>
      </c>
      <c r="BB556" s="59">
        <f>L555</f>
        <v>192.36</v>
      </c>
      <c r="CD556">
        <v>1</v>
      </c>
    </row>
    <row r="557" spans="1:82" ht="96.6" x14ac:dyDescent="0.25">
      <c r="A557" s="76" t="s">
        <v>307</v>
      </c>
      <c r="B557" s="52" t="s">
        <v>308</v>
      </c>
      <c r="C557" s="52" t="str">
        <f>Source!G175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50 км</v>
      </c>
      <c r="D557" s="53" t="str">
        <f>Source!H175</f>
        <v>1т груза</v>
      </c>
      <c r="E557" s="54">
        <f>Source!K175</f>
        <v>0.12839999999999999</v>
      </c>
      <c r="F557" s="54"/>
      <c r="G557" s="54">
        <f>Source!I175</f>
        <v>0.12839999999999999</v>
      </c>
      <c r="H557" s="55"/>
      <c r="I557" s="56"/>
      <c r="J557" s="55">
        <f>Source!AK175</f>
        <v>530.41</v>
      </c>
      <c r="K557" s="56"/>
      <c r="L557" s="55">
        <f>Source!HD175</f>
        <v>68.099999999999994</v>
      </c>
    </row>
    <row r="558" spans="1:82" ht="13.8" x14ac:dyDescent="0.25">
      <c r="C558" s="103" t="s">
        <v>77</v>
      </c>
      <c r="D558" s="103"/>
      <c r="E558" s="103"/>
      <c r="F558" s="103"/>
      <c r="G558" s="103"/>
      <c r="H558" s="103"/>
      <c r="I558" s="104">
        <f>IF(E557&lt;&gt;0,K558/E557,0)</f>
        <v>530.37383177570098</v>
      </c>
      <c r="J558" s="104"/>
      <c r="K558" s="104">
        <f>L557</f>
        <v>68.099999999999994</v>
      </c>
      <c r="L558" s="104"/>
      <c r="AD558">
        <f>ROUND((Source!AT175/100)*((ROUND(0*Source!I175,2)+ROUND(0*Source!I175,2))),2)</f>
        <v>0</v>
      </c>
      <c r="AE558">
        <f>ROUND((Source!AU175/100)*((ROUND(0*Source!I175,2)+ROUND(0*Source!I175,2))),2)</f>
        <v>0</v>
      </c>
      <c r="AN558" s="59">
        <f>L557</f>
        <v>68.099999999999994</v>
      </c>
      <c r="AP558">
        <f>0</f>
        <v>0</v>
      </c>
      <c r="AQ558" t="s">
        <v>78</v>
      </c>
      <c r="AS558">
        <f>0</f>
        <v>0</v>
      </c>
      <c r="AU558">
        <f>0</f>
        <v>0</v>
      </c>
      <c r="AV558" t="s">
        <v>78</v>
      </c>
      <c r="AZ558">
        <f>Source!X175</f>
        <v>0</v>
      </c>
      <c r="BA558">
        <f>Source!Y175</f>
        <v>0</v>
      </c>
      <c r="BB558" s="59">
        <f>L557</f>
        <v>68.099999999999994</v>
      </c>
      <c r="CD558">
        <v>1</v>
      </c>
    </row>
    <row r="560" spans="1:82" ht="13.8" x14ac:dyDescent="0.25">
      <c r="A560" s="61"/>
      <c r="B560" s="62"/>
      <c r="C560" s="98" t="s">
        <v>171</v>
      </c>
      <c r="D560" s="98"/>
      <c r="E560" s="98"/>
      <c r="F560" s="98"/>
      <c r="G560" s="98"/>
      <c r="H560" s="98"/>
      <c r="I560" s="51"/>
      <c r="J560" s="61"/>
      <c r="K560" s="63"/>
      <c r="L560" s="51">
        <f>L562+L563+L569+L573</f>
        <v>404.03000000000003</v>
      </c>
    </row>
    <row r="561" spans="1:12" ht="13.8" x14ac:dyDescent="0.25">
      <c r="A561" s="64"/>
      <c r="B561" s="65"/>
      <c r="C561" s="101" t="s">
        <v>172</v>
      </c>
      <c r="D561" s="97"/>
      <c r="E561" s="97"/>
      <c r="F561" s="97"/>
      <c r="G561" s="97"/>
      <c r="H561" s="97"/>
      <c r="I561" s="46"/>
      <c r="J561" s="64"/>
      <c r="K561" s="45"/>
      <c r="L561" s="46"/>
    </row>
    <row r="562" spans="1:12" ht="13.8" x14ac:dyDescent="0.25">
      <c r="A562" s="64"/>
      <c r="B562" s="65"/>
      <c r="C562" s="97" t="s">
        <v>173</v>
      </c>
      <c r="D562" s="97"/>
      <c r="E562" s="97"/>
      <c r="F562" s="97"/>
      <c r="G562" s="97"/>
      <c r="H562" s="97"/>
      <c r="I562" s="46"/>
      <c r="J562" s="64"/>
      <c r="K562" s="45"/>
      <c r="L562" s="46">
        <f>SUM(AR544:AR558)</f>
        <v>71.260000000000005</v>
      </c>
    </row>
    <row r="563" spans="1:12" ht="13.8" hidden="1" x14ac:dyDescent="0.25">
      <c r="A563" s="64"/>
      <c r="B563" s="65"/>
      <c r="C563" s="97" t="s">
        <v>174</v>
      </c>
      <c r="D563" s="97"/>
      <c r="E563" s="97"/>
      <c r="F563" s="97"/>
      <c r="G563" s="97"/>
      <c r="H563" s="97"/>
      <c r="I563" s="46"/>
      <c r="J563" s="64"/>
      <c r="K563" s="45"/>
      <c r="L563" s="46">
        <f>L565+L568+L567</f>
        <v>0</v>
      </c>
    </row>
    <row r="564" spans="1:12" ht="13.8" hidden="1" x14ac:dyDescent="0.25">
      <c r="A564" s="64"/>
      <c r="B564" s="65"/>
      <c r="C564" s="101" t="s">
        <v>175</v>
      </c>
      <c r="D564" s="97"/>
      <c r="E564" s="97"/>
      <c r="F564" s="97"/>
      <c r="G564" s="97"/>
      <c r="H564" s="97"/>
      <c r="I564" s="46"/>
      <c r="J564" s="64"/>
      <c r="K564" s="45"/>
      <c r="L564" s="46"/>
    </row>
    <row r="565" spans="1:12" ht="13.8" hidden="1" x14ac:dyDescent="0.25">
      <c r="A565" s="64"/>
      <c r="B565" s="65"/>
      <c r="C565" s="97" t="s">
        <v>174</v>
      </c>
      <c r="D565" s="97"/>
      <c r="E565" s="97"/>
      <c r="F565" s="97"/>
      <c r="G565" s="97"/>
      <c r="H565" s="97"/>
      <c r="I565" s="46"/>
      <c r="J565" s="64"/>
      <c r="K565" s="45"/>
      <c r="L565" s="46">
        <f>SUM(AO544:AO558)</f>
        <v>0</v>
      </c>
    </row>
    <row r="566" spans="1:12" ht="13.8" hidden="1" x14ac:dyDescent="0.25">
      <c r="A566" s="64"/>
      <c r="B566" s="65"/>
      <c r="C566" s="101" t="s">
        <v>176</v>
      </c>
      <c r="D566" s="97"/>
      <c r="E566" s="97"/>
      <c r="F566" s="97"/>
      <c r="G566" s="97"/>
      <c r="H566" s="97"/>
      <c r="I566" s="46"/>
      <c r="J566" s="64"/>
      <c r="K566" s="45"/>
      <c r="L566" s="46"/>
    </row>
    <row r="567" spans="1:12" ht="13.8" hidden="1" x14ac:dyDescent="0.25">
      <c r="A567" s="64"/>
      <c r="B567" s="65"/>
      <c r="C567" s="97" t="s">
        <v>177</v>
      </c>
      <c r="D567" s="97"/>
      <c r="E567" s="97"/>
      <c r="F567" s="97"/>
      <c r="G567" s="97"/>
      <c r="H567" s="97"/>
      <c r="I567" s="46"/>
      <c r="J567" s="64"/>
      <c r="K567" s="45"/>
      <c r="L567" s="46">
        <f>SUM(AT544:AT558)</f>
        <v>0</v>
      </c>
    </row>
    <row r="568" spans="1:12" ht="13.8" hidden="1" x14ac:dyDescent="0.25">
      <c r="A568" s="64"/>
      <c r="B568" s="65"/>
      <c r="C568" s="97" t="s">
        <v>178</v>
      </c>
      <c r="D568" s="97"/>
      <c r="E568" s="97"/>
      <c r="F568" s="97"/>
      <c r="G568" s="97"/>
      <c r="H568" s="97"/>
      <c r="I568" s="46"/>
      <c r="J568" s="64"/>
      <c r="K568" s="45"/>
      <c r="L568" s="46">
        <f>SUM(AV544:AV558)</f>
        <v>0</v>
      </c>
    </row>
    <row r="569" spans="1:12" ht="13.8" x14ac:dyDescent="0.25">
      <c r="A569" s="64"/>
      <c r="B569" s="65"/>
      <c r="C569" s="97" t="s">
        <v>179</v>
      </c>
      <c r="D569" s="97"/>
      <c r="E569" s="97"/>
      <c r="F569" s="97"/>
      <c r="G569" s="97"/>
      <c r="H569" s="97"/>
      <c r="I569" s="46"/>
      <c r="J569" s="64"/>
      <c r="K569" s="45"/>
      <c r="L569" s="46">
        <f>L571+L572</f>
        <v>72.31</v>
      </c>
    </row>
    <row r="570" spans="1:12" ht="13.8" x14ac:dyDescent="0.25">
      <c r="A570" s="64"/>
      <c r="B570" s="65"/>
      <c r="C570" s="101" t="s">
        <v>175</v>
      </c>
      <c r="D570" s="97"/>
      <c r="E570" s="97"/>
      <c r="F570" s="97"/>
      <c r="G570" s="97"/>
      <c r="H570" s="97"/>
      <c r="I570" s="46"/>
      <c r="J570" s="64"/>
      <c r="K570" s="45"/>
      <c r="L570" s="46"/>
    </row>
    <row r="571" spans="1:12" ht="13.8" x14ac:dyDescent="0.25">
      <c r="A571" s="64"/>
      <c r="B571" s="65"/>
      <c r="C571" s="97" t="s">
        <v>180</v>
      </c>
      <c r="D571" s="97"/>
      <c r="E571" s="97"/>
      <c r="F571" s="97"/>
      <c r="G571" s="97"/>
      <c r="H571" s="97"/>
      <c r="I571" s="46"/>
      <c r="J571" s="64"/>
      <c r="K571" s="45"/>
      <c r="L571" s="46">
        <f>SUM(AW544:AW558)-SUM(BK544:BK558)</f>
        <v>72.31</v>
      </c>
    </row>
    <row r="572" spans="1:12" ht="13.8" hidden="1" x14ac:dyDescent="0.25">
      <c r="A572" s="64"/>
      <c r="B572" s="65"/>
      <c r="C572" s="97" t="s">
        <v>181</v>
      </c>
      <c r="D572" s="97"/>
      <c r="E572" s="97"/>
      <c r="F572" s="97"/>
      <c r="G572" s="97"/>
      <c r="H572" s="97"/>
      <c r="I572" s="46"/>
      <c r="J572" s="64"/>
      <c r="K572" s="45"/>
      <c r="L572" s="46">
        <f>SUM(BC544:BC558)</f>
        <v>0</v>
      </c>
    </row>
    <row r="573" spans="1:12" ht="13.8" x14ac:dyDescent="0.25">
      <c r="A573" s="64"/>
      <c r="B573" s="65"/>
      <c r="C573" s="97" t="s">
        <v>182</v>
      </c>
      <c r="D573" s="97"/>
      <c r="E573" s="97"/>
      <c r="F573" s="97"/>
      <c r="G573" s="97"/>
      <c r="H573" s="97"/>
      <c r="I573" s="46"/>
      <c r="J573" s="64"/>
      <c r="K573" s="45"/>
      <c r="L573" s="46">
        <f>SUM(BB544:BB558)</f>
        <v>260.46000000000004</v>
      </c>
    </row>
    <row r="574" spans="1:12" ht="13.8" x14ac:dyDescent="0.25">
      <c r="A574" s="64"/>
      <c r="B574" s="65"/>
      <c r="C574" s="97" t="s">
        <v>183</v>
      </c>
      <c r="D574" s="97"/>
      <c r="E574" s="97"/>
      <c r="F574" s="97"/>
      <c r="G574" s="97"/>
      <c r="H574" s="97"/>
      <c r="I574" s="46"/>
      <c r="J574" s="64"/>
      <c r="K574" s="45"/>
      <c r="L574" s="46">
        <f>SUM(AR544:AR558)+SUM(AT544:AT558)+SUM(AV544:AV558)</f>
        <v>71.260000000000005</v>
      </c>
    </row>
    <row r="575" spans="1:12" ht="13.8" x14ac:dyDescent="0.25">
      <c r="A575" s="64"/>
      <c r="B575" s="65"/>
      <c r="C575" s="97" t="s">
        <v>184</v>
      </c>
      <c r="D575" s="97"/>
      <c r="E575" s="97"/>
      <c r="F575" s="97"/>
      <c r="G575" s="97"/>
      <c r="H575" s="97"/>
      <c r="I575" s="46"/>
      <c r="J575" s="64"/>
      <c r="K575" s="45"/>
      <c r="L575" s="46">
        <f>SUM(AZ544:AZ558)</f>
        <v>65.56</v>
      </c>
    </row>
    <row r="576" spans="1:12" ht="13.8" x14ac:dyDescent="0.25">
      <c r="A576" s="64"/>
      <c r="B576" s="65"/>
      <c r="C576" s="97" t="s">
        <v>185</v>
      </c>
      <c r="D576" s="97"/>
      <c r="E576" s="97"/>
      <c r="F576" s="97"/>
      <c r="G576" s="97"/>
      <c r="H576" s="97"/>
      <c r="I576" s="46"/>
      <c r="J576" s="64"/>
      <c r="K576" s="45"/>
      <c r="L576" s="46">
        <f>SUM(BA544:BA558)</f>
        <v>31.35</v>
      </c>
    </row>
    <row r="577" spans="1:12" ht="13.8" hidden="1" x14ac:dyDescent="0.25">
      <c r="A577" s="64"/>
      <c r="B577" s="65"/>
      <c r="C577" s="97" t="s">
        <v>186</v>
      </c>
      <c r="D577" s="97"/>
      <c r="E577" s="97"/>
      <c r="F577" s="97"/>
      <c r="G577" s="97"/>
      <c r="H577" s="97"/>
      <c r="I577" s="46"/>
      <c r="J577" s="64"/>
      <c r="K577" s="45"/>
      <c r="L577" s="46">
        <f>L579+L580</f>
        <v>0</v>
      </c>
    </row>
    <row r="578" spans="1:12" ht="13.8" hidden="1" x14ac:dyDescent="0.25">
      <c r="A578" s="64"/>
      <c r="B578" s="65"/>
      <c r="C578" s="101" t="s">
        <v>172</v>
      </c>
      <c r="D578" s="97"/>
      <c r="E578" s="97"/>
      <c r="F578" s="97"/>
      <c r="G578" s="97"/>
      <c r="H578" s="97"/>
      <c r="I578" s="46"/>
      <c r="J578" s="64"/>
      <c r="K578" s="45"/>
      <c r="L578" s="46"/>
    </row>
    <row r="579" spans="1:12" ht="13.8" hidden="1" x14ac:dyDescent="0.25">
      <c r="A579" s="64"/>
      <c r="B579" s="65"/>
      <c r="C579" s="97" t="s">
        <v>187</v>
      </c>
      <c r="D579" s="97"/>
      <c r="E579" s="97"/>
      <c r="F579" s="97"/>
      <c r="G579" s="97"/>
      <c r="H579" s="97"/>
      <c r="I579" s="46"/>
      <c r="J579" s="64"/>
      <c r="K579" s="45"/>
      <c r="L579" s="46">
        <f>SUM(BK544:BK558)</f>
        <v>0</v>
      </c>
    </row>
    <row r="580" spans="1:12" ht="13.8" hidden="1" x14ac:dyDescent="0.25">
      <c r="A580" s="64"/>
      <c r="B580" s="65"/>
      <c r="C580" s="97" t="s">
        <v>188</v>
      </c>
      <c r="D580" s="97"/>
      <c r="E580" s="97"/>
      <c r="F580" s="97"/>
      <c r="G580" s="97"/>
      <c r="H580" s="97"/>
      <c r="I580" s="46"/>
      <c r="J580" s="64"/>
      <c r="K580" s="45"/>
      <c r="L580" s="46">
        <f>SUM(BD544:BD558)</f>
        <v>0</v>
      </c>
    </row>
    <row r="581" spans="1:12" ht="13.8" hidden="1" x14ac:dyDescent="0.25">
      <c r="A581" s="64"/>
      <c r="B581" s="65"/>
      <c r="C581" s="97" t="s">
        <v>189</v>
      </c>
      <c r="D581" s="97"/>
      <c r="E581" s="97"/>
      <c r="F581" s="97"/>
      <c r="G581" s="97"/>
      <c r="H581" s="97"/>
      <c r="I581" s="46"/>
      <c r="J581" s="64"/>
      <c r="K581" s="45"/>
      <c r="L581" s="46"/>
    </row>
    <row r="582" spans="1:12" ht="13.8" hidden="1" x14ac:dyDescent="0.25">
      <c r="A582" s="64"/>
      <c r="B582" s="65"/>
      <c r="C582" s="97" t="s">
        <v>189</v>
      </c>
      <c r="D582" s="97"/>
      <c r="E582" s="97"/>
      <c r="F582" s="97"/>
      <c r="G582" s="97"/>
      <c r="H582" s="97"/>
      <c r="I582" s="46"/>
      <c r="J582" s="64"/>
      <c r="K582" s="45"/>
      <c r="L582" s="46">
        <f>SUM(BQ544:BQ558)</f>
        <v>0</v>
      </c>
    </row>
    <row r="583" spans="1:12" ht="13.8" hidden="1" x14ac:dyDescent="0.25">
      <c r="A583" s="64"/>
      <c r="B583" s="65"/>
      <c r="C583" s="97" t="s">
        <v>190</v>
      </c>
      <c r="D583" s="97"/>
      <c r="E583" s="97"/>
      <c r="F583" s="97"/>
      <c r="G583" s="97"/>
      <c r="H583" s="97"/>
      <c r="I583" s="46"/>
      <c r="J583" s="64"/>
      <c r="K583" s="45"/>
      <c r="L583" s="46">
        <f>SUM(BO544:BO558)</f>
        <v>0</v>
      </c>
    </row>
    <row r="584" spans="1:12" ht="13.8" x14ac:dyDescent="0.25">
      <c r="A584" s="61"/>
      <c r="B584" s="62"/>
      <c r="C584" s="98" t="s">
        <v>191</v>
      </c>
      <c r="D584" s="98"/>
      <c r="E584" s="98"/>
      <c r="F584" s="98"/>
      <c r="G584" s="98"/>
      <c r="H584" s="98"/>
      <c r="I584" s="51"/>
      <c r="J584" s="61"/>
      <c r="K584" s="63"/>
      <c r="L584" s="51">
        <f>L560+L575+L576+L577+L582+L583</f>
        <v>500.94000000000005</v>
      </c>
    </row>
    <row r="585" spans="1:12" ht="13.8" x14ac:dyDescent="0.25">
      <c r="A585" s="64"/>
      <c r="B585" s="65"/>
      <c r="C585" s="101" t="s">
        <v>192</v>
      </c>
      <c r="D585" s="97"/>
      <c r="E585" s="97"/>
      <c r="F585" s="97"/>
      <c r="G585" s="97"/>
      <c r="H585" s="97"/>
      <c r="I585" s="46"/>
      <c r="J585" s="64"/>
      <c r="K585" s="45"/>
      <c r="L585" s="46"/>
    </row>
    <row r="586" spans="1:12" ht="13.8" hidden="1" x14ac:dyDescent="0.25">
      <c r="A586" s="64"/>
      <c r="B586" s="65"/>
      <c r="C586" s="97" t="s">
        <v>193</v>
      </c>
      <c r="D586" s="97"/>
      <c r="E586" s="97"/>
      <c r="F586" s="97"/>
      <c r="G586" s="97"/>
      <c r="H586" s="97"/>
      <c r="I586" s="46"/>
      <c r="J586" s="64"/>
      <c r="K586" s="45"/>
      <c r="L586" s="46">
        <f>SUM(AX544:AX558)</f>
        <v>0</v>
      </c>
    </row>
    <row r="587" spans="1:12" ht="13.8" hidden="1" x14ac:dyDescent="0.25">
      <c r="A587" s="64"/>
      <c r="B587" s="65"/>
      <c r="C587" s="97" t="s">
        <v>194</v>
      </c>
      <c r="D587" s="97"/>
      <c r="E587" s="97"/>
      <c r="F587" s="97"/>
      <c r="G587" s="97"/>
      <c r="H587" s="97"/>
      <c r="I587" s="46"/>
      <c r="J587" s="64"/>
      <c r="K587" s="45"/>
      <c r="L587" s="46">
        <f>SUM(AY544:AY558)</f>
        <v>0</v>
      </c>
    </row>
    <row r="588" spans="1:12" ht="13.8" x14ac:dyDescent="0.25">
      <c r="A588" s="64"/>
      <c r="B588" s="65"/>
      <c r="C588" s="97" t="s">
        <v>195</v>
      </c>
      <c r="D588" s="97"/>
      <c r="E588" s="97"/>
      <c r="F588" s="99"/>
      <c r="G588" s="50">
        <f>Source!F199</f>
        <v>0.13225200000000001</v>
      </c>
      <c r="H588" s="64"/>
      <c r="I588" s="64"/>
      <c r="J588" s="64"/>
      <c r="K588" s="64"/>
      <c r="L588" s="64"/>
    </row>
    <row r="589" spans="1:12" ht="13.8" hidden="1" customHeight="1" x14ac:dyDescent="0.25">
      <c r="A589" s="64"/>
      <c r="B589" s="65"/>
      <c r="C589" s="97" t="s">
        <v>196</v>
      </c>
      <c r="D589" s="97"/>
      <c r="E589" s="97"/>
      <c r="F589" s="99"/>
      <c r="G589" s="50">
        <f>Source!F200</f>
        <v>0</v>
      </c>
      <c r="H589" s="64"/>
      <c r="I589" s="64"/>
      <c r="J589" s="64"/>
      <c r="K589" s="64"/>
      <c r="L589" s="64"/>
    </row>
    <row r="592" spans="1:12" ht="13.8" x14ac:dyDescent="0.25">
      <c r="A592" s="66"/>
      <c r="B592" s="67"/>
      <c r="C592" s="102" t="s">
        <v>309</v>
      </c>
      <c r="D592" s="102"/>
      <c r="E592" s="102"/>
      <c r="F592" s="102"/>
      <c r="G592" s="102"/>
      <c r="H592" s="102"/>
      <c r="I592" s="58"/>
      <c r="J592" s="66"/>
      <c r="K592" s="68"/>
      <c r="L592" s="58"/>
    </row>
    <row r="594" spans="1:12" ht="13.8" x14ac:dyDescent="0.25">
      <c r="A594" s="61"/>
      <c r="B594" s="62"/>
      <c r="C594" s="98" t="s">
        <v>310</v>
      </c>
      <c r="D594" s="98"/>
      <c r="E594" s="98"/>
      <c r="F594" s="98"/>
      <c r="G594" s="98"/>
      <c r="H594" s="98"/>
      <c r="I594" s="51"/>
      <c r="J594" s="61"/>
      <c r="K594" s="63"/>
      <c r="L594" s="51">
        <f>L596+L611+L612</f>
        <v>113692.81999999999</v>
      </c>
    </row>
    <row r="595" spans="1:12" ht="13.8" x14ac:dyDescent="0.25">
      <c r="A595" s="64"/>
      <c r="B595" s="65"/>
      <c r="C595" s="101" t="s">
        <v>172</v>
      </c>
      <c r="D595" s="97"/>
      <c r="E595" s="97"/>
      <c r="F595" s="97"/>
      <c r="G595" s="97"/>
      <c r="H595" s="97"/>
      <c r="I595" s="46"/>
      <c r="J595" s="64"/>
      <c r="K595" s="45"/>
      <c r="L595" s="46"/>
    </row>
    <row r="596" spans="1:12" ht="13.8" x14ac:dyDescent="0.25">
      <c r="A596" s="64"/>
      <c r="B596" s="65"/>
      <c r="C596" s="97" t="s">
        <v>311</v>
      </c>
      <c r="D596" s="97"/>
      <c r="E596" s="97"/>
      <c r="F596" s="97"/>
      <c r="G596" s="97"/>
      <c r="H596" s="97"/>
      <c r="I596" s="46"/>
      <c r="J596" s="64"/>
      <c r="K596" s="45"/>
      <c r="L596" s="46">
        <f>L598+L599+L605+L609</f>
        <v>74559.789999999994</v>
      </c>
    </row>
    <row r="597" spans="1:12" ht="13.8" x14ac:dyDescent="0.25">
      <c r="A597" s="64"/>
      <c r="B597" s="65"/>
      <c r="C597" s="101" t="s">
        <v>172</v>
      </c>
      <c r="D597" s="97"/>
      <c r="E597" s="97"/>
      <c r="F597" s="97"/>
      <c r="G597" s="97"/>
      <c r="H597" s="97"/>
      <c r="I597" s="46"/>
      <c r="J597" s="64"/>
      <c r="K597" s="45"/>
      <c r="L597" s="46"/>
    </row>
    <row r="598" spans="1:12" ht="13.8" x14ac:dyDescent="0.25">
      <c r="A598" s="64"/>
      <c r="B598" s="65"/>
      <c r="C598" s="97" t="s">
        <v>312</v>
      </c>
      <c r="D598" s="97"/>
      <c r="E598" s="97"/>
      <c r="F598" s="97"/>
      <c r="G598" s="97"/>
      <c r="H598" s="97"/>
      <c r="I598" s="46"/>
      <c r="J598" s="64"/>
      <c r="K598" s="45"/>
      <c r="L598" s="46">
        <f>SUMIF(CD60:CD590,1,AR60:AR590)</f>
        <v>25817.480000000007</v>
      </c>
    </row>
    <row r="599" spans="1:12" ht="13.8" hidden="1" x14ac:dyDescent="0.25">
      <c r="A599" s="64"/>
      <c r="B599" s="65"/>
      <c r="C599" s="97" t="s">
        <v>174</v>
      </c>
      <c r="D599" s="97"/>
      <c r="E599" s="97"/>
      <c r="F599" s="97"/>
      <c r="G599" s="97"/>
      <c r="H599" s="97"/>
      <c r="I599" s="46"/>
      <c r="J599" s="64"/>
      <c r="K599" s="45"/>
      <c r="L599" s="46">
        <f>L601+L604+L603</f>
        <v>320.85000000000002</v>
      </c>
    </row>
    <row r="600" spans="1:12" ht="13.8" hidden="1" x14ac:dyDescent="0.25">
      <c r="A600" s="64"/>
      <c r="B600" s="65"/>
      <c r="C600" s="101" t="s">
        <v>175</v>
      </c>
      <c r="D600" s="97"/>
      <c r="E600" s="97"/>
      <c r="F600" s="97"/>
      <c r="G600" s="97"/>
      <c r="H600" s="97"/>
      <c r="I600" s="46"/>
      <c r="J600" s="64"/>
      <c r="K600" s="45"/>
      <c r="L600" s="46"/>
    </row>
    <row r="601" spans="1:12" ht="13.8" x14ac:dyDescent="0.25">
      <c r="A601" s="64"/>
      <c r="B601" s="65"/>
      <c r="C601" s="97" t="s">
        <v>174</v>
      </c>
      <c r="D601" s="97"/>
      <c r="E601" s="97"/>
      <c r="F601" s="97"/>
      <c r="G601" s="97"/>
      <c r="H601" s="97"/>
      <c r="I601" s="46"/>
      <c r="J601" s="64"/>
      <c r="K601" s="45"/>
      <c r="L601" s="46">
        <f>SUMIF(CD60:CD590,1,AO60:AO590)</f>
        <v>174.26000000000002</v>
      </c>
    </row>
    <row r="602" spans="1:12" ht="13.8" hidden="1" x14ac:dyDescent="0.25">
      <c r="A602" s="64"/>
      <c r="B602" s="65"/>
      <c r="C602" s="101" t="s">
        <v>176</v>
      </c>
      <c r="D602" s="97"/>
      <c r="E602" s="97"/>
      <c r="F602" s="97"/>
      <c r="G602" s="97"/>
      <c r="H602" s="97"/>
      <c r="I602" s="46"/>
      <c r="J602" s="64"/>
      <c r="K602" s="45"/>
      <c r="L602" s="46"/>
    </row>
    <row r="603" spans="1:12" ht="13.8" x14ac:dyDescent="0.25">
      <c r="A603" s="64"/>
      <c r="B603" s="65"/>
      <c r="C603" s="97" t="s">
        <v>177</v>
      </c>
      <c r="D603" s="97"/>
      <c r="E603" s="97"/>
      <c r="F603" s="97"/>
      <c r="G603" s="97"/>
      <c r="H603" s="97"/>
      <c r="I603" s="46"/>
      <c r="J603" s="64"/>
      <c r="K603" s="45"/>
      <c r="L603" s="46">
        <f>SUMIF(CD60:CD590,1,AT60:AT590)</f>
        <v>146.58999999999997</v>
      </c>
    </row>
    <row r="604" spans="1:12" ht="13.8" hidden="1" x14ac:dyDescent="0.25">
      <c r="A604" s="64"/>
      <c r="B604" s="65"/>
      <c r="C604" s="97" t="s">
        <v>178</v>
      </c>
      <c r="D604" s="97"/>
      <c r="E604" s="97"/>
      <c r="F604" s="97"/>
      <c r="G604" s="97"/>
      <c r="H604" s="97"/>
      <c r="I604" s="46"/>
      <c r="J604" s="64"/>
      <c r="K604" s="45"/>
      <c r="L604" s="46">
        <f>SUMIF(CD60:CD590,1,AV60:AV590)</f>
        <v>0</v>
      </c>
    </row>
    <row r="605" spans="1:12" ht="13.8" x14ac:dyDescent="0.25">
      <c r="A605" s="64"/>
      <c r="B605" s="65"/>
      <c r="C605" s="97" t="s">
        <v>179</v>
      </c>
      <c r="D605" s="97"/>
      <c r="E605" s="97"/>
      <c r="F605" s="97"/>
      <c r="G605" s="97"/>
      <c r="H605" s="97"/>
      <c r="I605" s="46"/>
      <c r="J605" s="64"/>
      <c r="K605" s="45"/>
      <c r="L605" s="46">
        <f>L607+L608</f>
        <v>48160.999999999978</v>
      </c>
    </row>
    <row r="606" spans="1:12" ht="13.8" x14ac:dyDescent="0.25">
      <c r="A606" s="64"/>
      <c r="B606" s="65"/>
      <c r="C606" s="101" t="s">
        <v>175</v>
      </c>
      <c r="D606" s="97"/>
      <c r="E606" s="97"/>
      <c r="F606" s="97"/>
      <c r="G606" s="97"/>
      <c r="H606" s="97"/>
      <c r="I606" s="46"/>
      <c r="J606" s="64"/>
      <c r="K606" s="45"/>
      <c r="L606" s="46"/>
    </row>
    <row r="607" spans="1:12" ht="13.8" x14ac:dyDescent="0.25">
      <c r="A607" s="64"/>
      <c r="B607" s="65"/>
      <c r="C607" s="97" t="s">
        <v>180</v>
      </c>
      <c r="D607" s="97"/>
      <c r="E607" s="97"/>
      <c r="F607" s="97"/>
      <c r="G607" s="97"/>
      <c r="H607" s="97"/>
      <c r="I607" s="46"/>
      <c r="J607" s="64"/>
      <c r="K607" s="45"/>
      <c r="L607" s="46">
        <f>SUMIF(CD60:CD590,1,AW60:AW590)-SUMIF(CD60:CD590,1,BK60:BK590)</f>
        <v>48160.999999999978</v>
      </c>
    </row>
    <row r="608" spans="1:12" ht="13.8" hidden="1" x14ac:dyDescent="0.25">
      <c r="A608" s="64"/>
      <c r="B608" s="65"/>
      <c r="C608" s="97" t="s">
        <v>181</v>
      </c>
      <c r="D608" s="97"/>
      <c r="E608" s="97"/>
      <c r="F608" s="97"/>
      <c r="G608" s="97"/>
      <c r="H608" s="97"/>
      <c r="I608" s="46"/>
      <c r="J608" s="64"/>
      <c r="K608" s="45"/>
      <c r="L608" s="46">
        <f>SUMIF(CD60:CD590,1,BC60:BC590)</f>
        <v>0</v>
      </c>
    </row>
    <row r="609" spans="1:12" ht="13.8" x14ac:dyDescent="0.25">
      <c r="A609" s="64"/>
      <c r="B609" s="65"/>
      <c r="C609" s="97" t="s">
        <v>182</v>
      </c>
      <c r="D609" s="97"/>
      <c r="E609" s="97"/>
      <c r="F609" s="97"/>
      <c r="G609" s="97"/>
      <c r="H609" s="97"/>
      <c r="I609" s="46"/>
      <c r="J609" s="64"/>
      <c r="K609" s="45"/>
      <c r="L609" s="46">
        <f>SUMIF(CD60:CD590,1,BB60:BB590)</f>
        <v>260.46000000000004</v>
      </c>
    </row>
    <row r="610" spans="1:12" ht="13.8" x14ac:dyDescent="0.25">
      <c r="A610" s="64"/>
      <c r="B610" s="65"/>
      <c r="C610" s="97" t="s">
        <v>313</v>
      </c>
      <c r="D610" s="97"/>
      <c r="E610" s="97"/>
      <c r="F610" s="97"/>
      <c r="G610" s="97"/>
      <c r="H610" s="97"/>
      <c r="I610" s="46"/>
      <c r="J610" s="64"/>
      <c r="K610" s="45"/>
      <c r="L610" s="46">
        <f>SUMIF(CD60:CD590,1,AR60:AR590)+SUMIF(CD60:CD590,1,AT60:AT590)+SUMIF(CD60:CD590,1,AV60:AV590)</f>
        <v>25964.070000000007</v>
      </c>
    </row>
    <row r="611" spans="1:12" ht="13.8" x14ac:dyDescent="0.25">
      <c r="A611" s="64"/>
      <c r="B611" s="65"/>
      <c r="C611" s="97" t="s">
        <v>314</v>
      </c>
      <c r="D611" s="97"/>
      <c r="E611" s="97"/>
      <c r="F611" s="97"/>
      <c r="G611" s="97"/>
      <c r="H611" s="97"/>
      <c r="I611" s="46"/>
      <c r="J611" s="64"/>
      <c r="K611" s="45"/>
      <c r="L611" s="46">
        <f>SUMIF(CD60:CD590,1,AZ60:AZ590)</f>
        <v>26064.2</v>
      </c>
    </row>
    <row r="612" spans="1:12" ht="13.8" x14ac:dyDescent="0.25">
      <c r="A612" s="64"/>
      <c r="B612" s="65"/>
      <c r="C612" s="97" t="s">
        <v>315</v>
      </c>
      <c r="D612" s="97"/>
      <c r="E612" s="97"/>
      <c r="F612" s="97"/>
      <c r="G612" s="97"/>
      <c r="H612" s="97"/>
      <c r="I612" s="46"/>
      <c r="J612" s="64"/>
      <c r="K612" s="45"/>
      <c r="L612" s="46">
        <f>SUMIF(CD60:CD590,1,BA60:BA590)</f>
        <v>13068.83</v>
      </c>
    </row>
    <row r="613" spans="1:12" hidden="1" x14ac:dyDescent="0.25"/>
    <row r="614" spans="1:12" ht="13.8" hidden="1" x14ac:dyDescent="0.25">
      <c r="A614" s="61"/>
      <c r="B614" s="62"/>
      <c r="C614" s="98" t="s">
        <v>316</v>
      </c>
      <c r="D614" s="98"/>
      <c r="E614" s="98"/>
      <c r="F614" s="98"/>
      <c r="G614" s="98"/>
      <c r="H614" s="98"/>
      <c r="I614" s="51"/>
      <c r="J614" s="61"/>
      <c r="K614" s="63"/>
      <c r="L614" s="51">
        <f>L616+L631+L632</f>
        <v>0</v>
      </c>
    </row>
    <row r="615" spans="1:12" ht="13.8" hidden="1" x14ac:dyDescent="0.25">
      <c r="A615" s="64"/>
      <c r="B615" s="65"/>
      <c r="C615" s="101" t="s">
        <v>172</v>
      </c>
      <c r="D615" s="97"/>
      <c r="E615" s="97"/>
      <c r="F615" s="97"/>
      <c r="G615" s="97"/>
      <c r="H615" s="97"/>
      <c r="I615" s="46"/>
      <c r="J615" s="64"/>
      <c r="K615" s="45"/>
      <c r="L615" s="46"/>
    </row>
    <row r="616" spans="1:12" ht="13.8" hidden="1" x14ac:dyDescent="0.25">
      <c r="A616" s="64"/>
      <c r="B616" s="65"/>
      <c r="C616" s="97" t="s">
        <v>311</v>
      </c>
      <c r="D616" s="97"/>
      <c r="E616" s="97"/>
      <c r="F616" s="97"/>
      <c r="G616" s="97"/>
      <c r="H616" s="97"/>
      <c r="I616" s="46"/>
      <c r="J616" s="64"/>
      <c r="K616" s="45"/>
      <c r="L616" s="46">
        <f>L618+L619+L625+L629</f>
        <v>0</v>
      </c>
    </row>
    <row r="617" spans="1:12" ht="13.8" hidden="1" x14ac:dyDescent="0.25">
      <c r="A617" s="64"/>
      <c r="B617" s="65"/>
      <c r="C617" s="101" t="s">
        <v>172</v>
      </c>
      <c r="D617" s="97"/>
      <c r="E617" s="97"/>
      <c r="F617" s="97"/>
      <c r="G617" s="97"/>
      <c r="H617" s="97"/>
      <c r="I617" s="46"/>
      <c r="J617" s="64"/>
      <c r="K617" s="45"/>
      <c r="L617" s="46"/>
    </row>
    <row r="618" spans="1:12" ht="13.8" hidden="1" x14ac:dyDescent="0.25">
      <c r="A618" s="64"/>
      <c r="B618" s="65"/>
      <c r="C618" s="97" t="s">
        <v>312</v>
      </c>
      <c r="D618" s="97"/>
      <c r="E618" s="97"/>
      <c r="F618" s="97"/>
      <c r="G618" s="97"/>
      <c r="H618" s="97"/>
      <c r="I618" s="46"/>
      <c r="J618" s="64"/>
      <c r="K618" s="45"/>
      <c r="L618" s="46">
        <f>SUMIF(CD60:CD612,2,AR60:AR612)</f>
        <v>0</v>
      </c>
    </row>
    <row r="619" spans="1:12" ht="13.8" hidden="1" x14ac:dyDescent="0.25">
      <c r="A619" s="64"/>
      <c r="B619" s="65"/>
      <c r="C619" s="97" t="s">
        <v>174</v>
      </c>
      <c r="D619" s="97"/>
      <c r="E619" s="97"/>
      <c r="F619" s="97"/>
      <c r="G619" s="97"/>
      <c r="H619" s="97"/>
      <c r="I619" s="46"/>
      <c r="J619" s="64"/>
      <c r="K619" s="45"/>
      <c r="L619" s="46">
        <f>L621+L624+L623</f>
        <v>0</v>
      </c>
    </row>
    <row r="620" spans="1:12" ht="13.8" hidden="1" x14ac:dyDescent="0.25">
      <c r="A620" s="64"/>
      <c r="B620" s="65"/>
      <c r="C620" s="101" t="s">
        <v>175</v>
      </c>
      <c r="D620" s="97"/>
      <c r="E620" s="97"/>
      <c r="F620" s="97"/>
      <c r="G620" s="97"/>
      <c r="H620" s="97"/>
      <c r="I620" s="46"/>
      <c r="J620" s="64"/>
      <c r="K620" s="45"/>
      <c r="L620" s="46"/>
    </row>
    <row r="621" spans="1:12" ht="13.8" hidden="1" x14ac:dyDescent="0.25">
      <c r="A621" s="64"/>
      <c r="B621" s="65"/>
      <c r="C621" s="97" t="s">
        <v>174</v>
      </c>
      <c r="D621" s="97"/>
      <c r="E621" s="97"/>
      <c r="F621" s="97"/>
      <c r="G621" s="97"/>
      <c r="H621" s="97"/>
      <c r="I621" s="46"/>
      <c r="J621" s="64"/>
      <c r="K621" s="45"/>
      <c r="L621" s="46">
        <f>SUMIF(CD60:CD612,2,AO60:AO612)</f>
        <v>0</v>
      </c>
    </row>
    <row r="622" spans="1:12" ht="13.8" hidden="1" x14ac:dyDescent="0.25">
      <c r="A622" s="64"/>
      <c r="B622" s="65"/>
      <c r="C622" s="101" t="s">
        <v>176</v>
      </c>
      <c r="D622" s="97"/>
      <c r="E622" s="97"/>
      <c r="F622" s="97"/>
      <c r="G622" s="97"/>
      <c r="H622" s="97"/>
      <c r="I622" s="46"/>
      <c r="J622" s="64"/>
      <c r="K622" s="45"/>
      <c r="L622" s="46"/>
    </row>
    <row r="623" spans="1:12" ht="13.8" hidden="1" x14ac:dyDescent="0.25">
      <c r="A623" s="64"/>
      <c r="B623" s="65"/>
      <c r="C623" s="97" t="s">
        <v>177</v>
      </c>
      <c r="D623" s="97"/>
      <c r="E623" s="97"/>
      <c r="F623" s="97"/>
      <c r="G623" s="97"/>
      <c r="H623" s="97"/>
      <c r="I623" s="46"/>
      <c r="J623" s="64"/>
      <c r="K623" s="45"/>
      <c r="L623" s="46">
        <f>SUMIF(CD60:CD612,2,AT60:AT612)</f>
        <v>0</v>
      </c>
    </row>
    <row r="624" spans="1:12" ht="13.8" hidden="1" x14ac:dyDescent="0.25">
      <c r="A624" s="64"/>
      <c r="B624" s="65"/>
      <c r="C624" s="97" t="s">
        <v>178</v>
      </c>
      <c r="D624" s="97"/>
      <c r="E624" s="97"/>
      <c r="F624" s="97"/>
      <c r="G624" s="97"/>
      <c r="H624" s="97"/>
      <c r="I624" s="46"/>
      <c r="J624" s="64"/>
      <c r="K624" s="45"/>
      <c r="L624" s="46">
        <f>SUMIF(CD60:CD612,2,AV60:AV612)</f>
        <v>0</v>
      </c>
    </row>
    <row r="625" spans="1:12" ht="13.8" hidden="1" x14ac:dyDescent="0.25">
      <c r="A625" s="64"/>
      <c r="B625" s="65"/>
      <c r="C625" s="97" t="s">
        <v>179</v>
      </c>
      <c r="D625" s="97"/>
      <c r="E625" s="97"/>
      <c r="F625" s="97"/>
      <c r="G625" s="97"/>
      <c r="H625" s="97"/>
      <c r="I625" s="46"/>
      <c r="J625" s="64"/>
      <c r="K625" s="45"/>
      <c r="L625" s="46">
        <f>L627+L628</f>
        <v>0</v>
      </c>
    </row>
    <row r="626" spans="1:12" ht="13.8" hidden="1" x14ac:dyDescent="0.25">
      <c r="A626" s="64"/>
      <c r="B626" s="65"/>
      <c r="C626" s="101" t="s">
        <v>175</v>
      </c>
      <c r="D626" s="97"/>
      <c r="E626" s="97"/>
      <c r="F626" s="97"/>
      <c r="G626" s="97"/>
      <c r="H626" s="97"/>
      <c r="I626" s="46"/>
      <c r="J626" s="64"/>
      <c r="K626" s="45"/>
      <c r="L626" s="46"/>
    </row>
    <row r="627" spans="1:12" ht="13.8" hidden="1" x14ac:dyDescent="0.25">
      <c r="A627" s="64"/>
      <c r="B627" s="65"/>
      <c r="C627" s="97" t="s">
        <v>180</v>
      </c>
      <c r="D627" s="97"/>
      <c r="E627" s="97"/>
      <c r="F627" s="97"/>
      <c r="G627" s="97"/>
      <c r="H627" s="97"/>
      <c r="I627" s="46"/>
      <c r="J627" s="64"/>
      <c r="K627" s="45"/>
      <c r="L627" s="46">
        <f>SUMIF(CD60:CD612,2,AW60:AW612)-SUMIF(CD60:CD612,2,BK60:BK612)</f>
        <v>0</v>
      </c>
    </row>
    <row r="628" spans="1:12" ht="13.8" hidden="1" x14ac:dyDescent="0.25">
      <c r="A628" s="64"/>
      <c r="B628" s="65"/>
      <c r="C628" s="97" t="s">
        <v>181</v>
      </c>
      <c r="D628" s="97"/>
      <c r="E628" s="97"/>
      <c r="F628" s="97"/>
      <c r="G628" s="97"/>
      <c r="H628" s="97"/>
      <c r="I628" s="46"/>
      <c r="J628" s="64"/>
      <c r="K628" s="45"/>
      <c r="L628" s="46">
        <f>SUMIF(CD60:CD612,2,BC60:BC612)</f>
        <v>0</v>
      </c>
    </row>
    <row r="629" spans="1:12" ht="13.8" hidden="1" x14ac:dyDescent="0.25">
      <c r="A629" s="64"/>
      <c r="B629" s="65"/>
      <c r="C629" s="97" t="s">
        <v>182</v>
      </c>
      <c r="D629" s="97"/>
      <c r="E629" s="97"/>
      <c r="F629" s="97"/>
      <c r="G629" s="97"/>
      <c r="H629" s="97"/>
      <c r="I629" s="46"/>
      <c r="J629" s="64"/>
      <c r="K629" s="45"/>
      <c r="L629" s="46">
        <f>SUMIF(CD60:CD612,2,BB60:BB612)</f>
        <v>0</v>
      </c>
    </row>
    <row r="630" spans="1:12" ht="13.8" hidden="1" x14ac:dyDescent="0.25">
      <c r="A630" s="64"/>
      <c r="B630" s="65"/>
      <c r="C630" s="97" t="s">
        <v>313</v>
      </c>
      <c r="D630" s="97"/>
      <c r="E630" s="97"/>
      <c r="F630" s="97"/>
      <c r="G630" s="97"/>
      <c r="H630" s="97"/>
      <c r="I630" s="46"/>
      <c r="J630" s="64"/>
      <c r="K630" s="45"/>
      <c r="L630" s="46">
        <f>SUMIF(CD60:CD612,2,AR60:AR612)+SUMIF(CD60:CD612,2,AT60:AT612)+SUMIF(CD60:CD612,2,AV60:AV612)</f>
        <v>0</v>
      </c>
    </row>
    <row r="631" spans="1:12" ht="13.8" hidden="1" x14ac:dyDescent="0.25">
      <c r="A631" s="64"/>
      <c r="B631" s="65"/>
      <c r="C631" s="97" t="s">
        <v>314</v>
      </c>
      <c r="D631" s="97"/>
      <c r="E631" s="97"/>
      <c r="F631" s="97"/>
      <c r="G631" s="97"/>
      <c r="H631" s="97"/>
      <c r="I631" s="46"/>
      <c r="J631" s="64"/>
      <c r="K631" s="45"/>
      <c r="L631" s="46">
        <f>SUMIF(CD60:CD612,2,AZ60:AZ612)</f>
        <v>0</v>
      </c>
    </row>
    <row r="632" spans="1:12" ht="13.8" hidden="1" x14ac:dyDescent="0.25">
      <c r="A632" s="64"/>
      <c r="B632" s="65"/>
      <c r="C632" s="97" t="s">
        <v>315</v>
      </c>
      <c r="D632" s="97"/>
      <c r="E632" s="97"/>
      <c r="F632" s="97"/>
      <c r="G632" s="97"/>
      <c r="H632" s="97"/>
      <c r="I632" s="46"/>
      <c r="J632" s="64"/>
      <c r="K632" s="45"/>
      <c r="L632" s="46">
        <f>SUMIF(CD60:CD612,2,BA60:BA612)</f>
        <v>0</v>
      </c>
    </row>
    <row r="633" spans="1:12" hidden="1" x14ac:dyDescent="0.25"/>
    <row r="634" spans="1:12" ht="13.8" hidden="1" x14ac:dyDescent="0.25">
      <c r="A634" s="61"/>
      <c r="B634" s="62"/>
      <c r="C634" s="98" t="s">
        <v>317</v>
      </c>
      <c r="D634" s="98"/>
      <c r="E634" s="98"/>
      <c r="F634" s="98"/>
      <c r="G634" s="98"/>
      <c r="H634" s="98"/>
      <c r="I634" s="51"/>
      <c r="J634" s="61"/>
      <c r="K634" s="63"/>
      <c r="L634" s="51">
        <f>L636+L637</f>
        <v>0</v>
      </c>
    </row>
    <row r="635" spans="1:12" ht="13.8" hidden="1" x14ac:dyDescent="0.25">
      <c r="A635" s="64"/>
      <c r="B635" s="65"/>
      <c r="C635" s="101" t="s">
        <v>172</v>
      </c>
      <c r="D635" s="97"/>
      <c r="E635" s="97"/>
      <c r="F635" s="97"/>
      <c r="G635" s="97"/>
      <c r="H635" s="97"/>
      <c r="I635" s="46"/>
      <c r="J635" s="64"/>
      <c r="K635" s="45"/>
      <c r="L635" s="46"/>
    </row>
    <row r="636" spans="1:12" ht="13.8" hidden="1" x14ac:dyDescent="0.25">
      <c r="A636" s="64"/>
      <c r="B636" s="65"/>
      <c r="C636" s="97" t="s">
        <v>187</v>
      </c>
      <c r="D636" s="97"/>
      <c r="E636" s="97"/>
      <c r="F636" s="97"/>
      <c r="G636" s="97"/>
      <c r="H636" s="97"/>
      <c r="I636" s="46"/>
      <c r="J636" s="64"/>
      <c r="K636" s="45"/>
      <c r="L636" s="46">
        <f>SUMIF(CD60:CD632,3,BK60:BK632)</f>
        <v>0</v>
      </c>
    </row>
    <row r="637" spans="1:12" ht="13.8" hidden="1" x14ac:dyDescent="0.25">
      <c r="A637" s="64"/>
      <c r="B637" s="65"/>
      <c r="C637" s="97" t="s">
        <v>188</v>
      </c>
      <c r="D637" s="97"/>
      <c r="E637" s="97"/>
      <c r="F637" s="97"/>
      <c r="G637" s="97"/>
      <c r="H637" s="97"/>
      <c r="I637" s="46"/>
      <c r="J637" s="64"/>
      <c r="K637" s="45"/>
      <c r="L637" s="46">
        <f>SUMIF(CD60:CD632,3,BD60:BD632)</f>
        <v>0</v>
      </c>
    </row>
    <row r="638" spans="1:12" hidden="1" x14ac:dyDescent="0.25"/>
    <row r="639" spans="1:12" ht="13.8" hidden="1" x14ac:dyDescent="0.25">
      <c r="A639" s="61"/>
      <c r="B639" s="62"/>
      <c r="C639" s="98" t="s">
        <v>318</v>
      </c>
      <c r="D639" s="98"/>
      <c r="E639" s="98"/>
      <c r="F639" s="98"/>
      <c r="G639" s="98"/>
      <c r="H639" s="98"/>
      <c r="I639" s="51"/>
      <c r="J639" s="61"/>
      <c r="K639" s="63"/>
      <c r="L639" s="51">
        <f>L647+L662+L663+L641+L642+L643+L644</f>
        <v>0</v>
      </c>
    </row>
    <row r="640" spans="1:12" ht="13.8" hidden="1" x14ac:dyDescent="0.25">
      <c r="A640" s="64"/>
      <c r="B640" s="65"/>
      <c r="C640" s="101" t="s">
        <v>172</v>
      </c>
      <c r="D640" s="97"/>
      <c r="E640" s="97"/>
      <c r="F640" s="97"/>
      <c r="G640" s="97"/>
      <c r="H640" s="97"/>
      <c r="I640" s="46"/>
      <c r="J640" s="64"/>
      <c r="K640" s="45"/>
      <c r="L640" s="46"/>
    </row>
    <row r="641" spans="1:12" ht="13.8" hidden="1" x14ac:dyDescent="0.25">
      <c r="A641" s="64"/>
      <c r="B641" s="65"/>
      <c r="C641" s="97" t="s">
        <v>319</v>
      </c>
      <c r="D641" s="97"/>
      <c r="E641" s="97"/>
      <c r="F641" s="97"/>
      <c r="G641" s="97"/>
      <c r="H641" s="97"/>
      <c r="I641" s="46"/>
      <c r="J641" s="64"/>
      <c r="K641" s="45"/>
      <c r="L641" s="46"/>
    </row>
    <row r="642" spans="1:12" ht="13.8" hidden="1" x14ac:dyDescent="0.25">
      <c r="A642" s="64"/>
      <c r="B642" s="65"/>
      <c r="C642" s="97" t="s">
        <v>319</v>
      </c>
      <c r="D642" s="97"/>
      <c r="E642" s="97"/>
      <c r="F642" s="97"/>
      <c r="G642" s="97"/>
      <c r="H642" s="97"/>
      <c r="I642" s="46"/>
      <c r="J642" s="64"/>
      <c r="K642" s="45"/>
      <c r="L642" s="46">
        <f>SUM(BQ60:BQ637)</f>
        <v>0</v>
      </c>
    </row>
    <row r="643" spans="1:12" ht="13.8" hidden="1" x14ac:dyDescent="0.25">
      <c r="A643" s="64"/>
      <c r="B643" s="65"/>
      <c r="C643" s="97" t="s">
        <v>320</v>
      </c>
      <c r="D643" s="97"/>
      <c r="E643" s="97"/>
      <c r="F643" s="97"/>
      <c r="G643" s="97"/>
      <c r="H643" s="97"/>
      <c r="I643" s="46"/>
      <c r="J643" s="64"/>
      <c r="K643" s="45"/>
      <c r="L643" s="46">
        <f>SUMIF(CD60:CD637,4,BB60:BB637)+SUMIF(CD60:CD637,4,BC60:BC637)+SUMIF(CD60:CD637,4,BD60:BD637)</f>
        <v>0</v>
      </c>
    </row>
    <row r="644" spans="1:12" ht="13.8" hidden="1" x14ac:dyDescent="0.25">
      <c r="A644" s="64"/>
      <c r="B644" s="65"/>
      <c r="C644" s="97" t="s">
        <v>321</v>
      </c>
      <c r="D644" s="97"/>
      <c r="E644" s="97"/>
      <c r="F644" s="97"/>
      <c r="G644" s="97"/>
      <c r="H644" s="97"/>
      <c r="I644" s="46"/>
      <c r="J644" s="64"/>
      <c r="K644" s="45"/>
      <c r="L644" s="46">
        <f>SUM(BO60:BO637)</f>
        <v>0</v>
      </c>
    </row>
    <row r="645" spans="1:12" ht="13.8" hidden="1" x14ac:dyDescent="0.25">
      <c r="A645" s="64"/>
      <c r="B645" s="65"/>
      <c r="C645" s="97" t="s">
        <v>322</v>
      </c>
      <c r="D645" s="97"/>
      <c r="E645" s="97"/>
      <c r="F645" s="97"/>
      <c r="G645" s="97"/>
      <c r="H645" s="97"/>
      <c r="I645" s="46"/>
      <c r="J645" s="64"/>
      <c r="K645" s="45"/>
      <c r="L645" s="46">
        <f>L647+L662+L663</f>
        <v>0</v>
      </c>
    </row>
    <row r="646" spans="1:12" ht="13.8" hidden="1" x14ac:dyDescent="0.25">
      <c r="A646" s="64"/>
      <c r="B646" s="65"/>
      <c r="C646" s="101" t="s">
        <v>172</v>
      </c>
      <c r="D646" s="97"/>
      <c r="E646" s="97"/>
      <c r="F646" s="97"/>
      <c r="G646" s="97"/>
      <c r="H646" s="97"/>
      <c r="I646" s="46"/>
      <c r="J646" s="64"/>
      <c r="K646" s="45"/>
      <c r="L646" s="46"/>
    </row>
    <row r="647" spans="1:12" ht="13.8" hidden="1" x14ac:dyDescent="0.25">
      <c r="A647" s="64"/>
      <c r="B647" s="65"/>
      <c r="C647" s="97" t="s">
        <v>311</v>
      </c>
      <c r="D647" s="97"/>
      <c r="E647" s="97"/>
      <c r="F647" s="97"/>
      <c r="G647" s="97"/>
      <c r="H647" s="97"/>
      <c r="I647" s="46"/>
      <c r="J647" s="64"/>
      <c r="K647" s="45"/>
      <c r="L647" s="46">
        <f>L649+L650+L656+L660</f>
        <v>0</v>
      </c>
    </row>
    <row r="648" spans="1:12" ht="13.8" hidden="1" x14ac:dyDescent="0.25">
      <c r="A648" s="64"/>
      <c r="B648" s="65"/>
      <c r="C648" s="101" t="s">
        <v>172</v>
      </c>
      <c r="D648" s="97"/>
      <c r="E648" s="97"/>
      <c r="F648" s="97"/>
      <c r="G648" s="97"/>
      <c r="H648" s="97"/>
      <c r="I648" s="46"/>
      <c r="J648" s="64"/>
      <c r="K648" s="45"/>
      <c r="L648" s="46"/>
    </row>
    <row r="649" spans="1:12" ht="13.8" hidden="1" x14ac:dyDescent="0.25">
      <c r="A649" s="64"/>
      <c r="B649" s="65"/>
      <c r="C649" s="97" t="s">
        <v>312</v>
      </c>
      <c r="D649" s="97"/>
      <c r="E649" s="97"/>
      <c r="F649" s="97"/>
      <c r="G649" s="97"/>
      <c r="H649" s="97"/>
      <c r="I649" s="46"/>
      <c r="J649" s="64"/>
      <c r="K649" s="45"/>
      <c r="L649" s="46">
        <f>SUMIF(CD60:CD637,4,AR60:AR637)</f>
        <v>0</v>
      </c>
    </row>
    <row r="650" spans="1:12" ht="13.8" hidden="1" x14ac:dyDescent="0.25">
      <c r="A650" s="64"/>
      <c r="B650" s="65"/>
      <c r="C650" s="97" t="s">
        <v>174</v>
      </c>
      <c r="D650" s="97"/>
      <c r="E650" s="97"/>
      <c r="F650" s="97"/>
      <c r="G650" s="97"/>
      <c r="H650" s="97"/>
      <c r="I650" s="46"/>
      <c r="J650" s="64"/>
      <c r="K650" s="45"/>
      <c r="L650" s="46">
        <f>L652+L655+L654</f>
        <v>0</v>
      </c>
    </row>
    <row r="651" spans="1:12" ht="13.8" hidden="1" x14ac:dyDescent="0.25">
      <c r="A651" s="64"/>
      <c r="B651" s="65"/>
      <c r="C651" s="101" t="s">
        <v>175</v>
      </c>
      <c r="D651" s="97"/>
      <c r="E651" s="97"/>
      <c r="F651" s="97"/>
      <c r="G651" s="97"/>
      <c r="H651" s="97"/>
      <c r="I651" s="46"/>
      <c r="J651" s="64"/>
      <c r="K651" s="45"/>
      <c r="L651" s="46"/>
    </row>
    <row r="652" spans="1:12" ht="13.8" hidden="1" x14ac:dyDescent="0.25">
      <c r="A652" s="64"/>
      <c r="B652" s="65"/>
      <c r="C652" s="97" t="s">
        <v>174</v>
      </c>
      <c r="D652" s="97"/>
      <c r="E652" s="97"/>
      <c r="F652" s="97"/>
      <c r="G652" s="97"/>
      <c r="H652" s="97"/>
      <c r="I652" s="46"/>
      <c r="J652" s="64"/>
      <c r="K652" s="45"/>
      <c r="L652" s="46">
        <f>SUMIF(CD60:CD637,4,AO60:AO637)</f>
        <v>0</v>
      </c>
    </row>
    <row r="653" spans="1:12" ht="13.8" hidden="1" x14ac:dyDescent="0.25">
      <c r="A653" s="64"/>
      <c r="B653" s="65"/>
      <c r="C653" s="101" t="s">
        <v>176</v>
      </c>
      <c r="D653" s="97"/>
      <c r="E653" s="97"/>
      <c r="F653" s="97"/>
      <c r="G653" s="97"/>
      <c r="H653" s="97"/>
      <c r="I653" s="46"/>
      <c r="J653" s="64"/>
      <c r="K653" s="45"/>
      <c r="L653" s="46"/>
    </row>
    <row r="654" spans="1:12" ht="13.8" hidden="1" x14ac:dyDescent="0.25">
      <c r="A654" s="64"/>
      <c r="B654" s="65"/>
      <c r="C654" s="97" t="s">
        <v>177</v>
      </c>
      <c r="D654" s="97"/>
      <c r="E654" s="97"/>
      <c r="F654" s="97"/>
      <c r="G654" s="97"/>
      <c r="H654" s="97"/>
      <c r="I654" s="46"/>
      <c r="J654" s="64"/>
      <c r="K654" s="45"/>
      <c r="L654" s="46">
        <f>SUMIF(CD60:CD637,4,AT60:AT637)</f>
        <v>0</v>
      </c>
    </row>
    <row r="655" spans="1:12" ht="13.8" hidden="1" x14ac:dyDescent="0.25">
      <c r="A655" s="64"/>
      <c r="B655" s="65"/>
      <c r="C655" s="97" t="s">
        <v>178</v>
      </c>
      <c r="D655" s="97"/>
      <c r="E655" s="97"/>
      <c r="F655" s="97"/>
      <c r="G655" s="97"/>
      <c r="H655" s="97"/>
      <c r="I655" s="46"/>
      <c r="J655" s="64"/>
      <c r="K655" s="45"/>
      <c r="L655" s="46">
        <f>SUMIF(CD60:CD637,4,AV60:AV637)</f>
        <v>0</v>
      </c>
    </row>
    <row r="656" spans="1:12" ht="13.8" hidden="1" x14ac:dyDescent="0.25">
      <c r="A656" s="64"/>
      <c r="B656" s="65"/>
      <c r="C656" s="97" t="s">
        <v>179</v>
      </c>
      <c r="D656" s="97"/>
      <c r="E656" s="97"/>
      <c r="F656" s="97"/>
      <c r="G656" s="97"/>
      <c r="H656" s="97"/>
      <c r="I656" s="46"/>
      <c r="J656" s="64"/>
      <c r="K656" s="45"/>
      <c r="L656" s="46">
        <f>L658+L659</f>
        <v>0</v>
      </c>
    </row>
    <row r="657" spans="1:12" ht="13.8" hidden="1" x14ac:dyDescent="0.25">
      <c r="A657" s="64"/>
      <c r="B657" s="65"/>
      <c r="C657" s="101" t="s">
        <v>175</v>
      </c>
      <c r="D657" s="97"/>
      <c r="E657" s="97"/>
      <c r="F657" s="97"/>
      <c r="G657" s="97"/>
      <c r="H657" s="97"/>
      <c r="I657" s="46"/>
      <c r="J657" s="64"/>
      <c r="K657" s="45"/>
      <c r="L657" s="46"/>
    </row>
    <row r="658" spans="1:12" ht="13.8" hidden="1" x14ac:dyDescent="0.25">
      <c r="A658" s="64"/>
      <c r="B658" s="65"/>
      <c r="C658" s="97" t="s">
        <v>180</v>
      </c>
      <c r="D658" s="97"/>
      <c r="E658" s="97"/>
      <c r="F658" s="97"/>
      <c r="G658" s="97"/>
      <c r="H658" s="97"/>
      <c r="I658" s="46"/>
      <c r="J658" s="64"/>
      <c r="K658" s="45"/>
      <c r="L658" s="46">
        <f>SUMIF(CD60:CD637,4,AW60:AW637)-SUMIF(CD60:CD637,4,BK60:BK637)</f>
        <v>0</v>
      </c>
    </row>
    <row r="659" spans="1:12" ht="13.8" hidden="1" x14ac:dyDescent="0.25">
      <c r="A659" s="64"/>
      <c r="B659" s="65"/>
      <c r="C659" s="97" t="s">
        <v>181</v>
      </c>
      <c r="D659" s="97"/>
      <c r="E659" s="97"/>
      <c r="F659" s="97"/>
      <c r="G659" s="97"/>
      <c r="H659" s="97"/>
      <c r="I659" s="46"/>
      <c r="J659" s="64"/>
      <c r="K659" s="45"/>
      <c r="L659" s="46">
        <f>SUMIF(CD60:CD637,4,BC60:BC637)</f>
        <v>0</v>
      </c>
    </row>
    <row r="660" spans="1:12" ht="13.8" hidden="1" x14ac:dyDescent="0.25">
      <c r="A660" s="64"/>
      <c r="B660" s="65"/>
      <c r="C660" s="97" t="s">
        <v>182</v>
      </c>
      <c r="D660" s="97"/>
      <c r="E660" s="97"/>
      <c r="F660" s="97"/>
      <c r="G660" s="97"/>
      <c r="H660" s="97"/>
      <c r="I660" s="46"/>
      <c r="J660" s="64"/>
      <c r="K660" s="45"/>
      <c r="L660" s="46">
        <f>SUMIF(CD60:CD637,4,BB60:BB637)</f>
        <v>0</v>
      </c>
    </row>
    <row r="661" spans="1:12" ht="13.8" hidden="1" x14ac:dyDescent="0.25">
      <c r="A661" s="64"/>
      <c r="B661" s="65"/>
      <c r="C661" s="97" t="s">
        <v>313</v>
      </c>
      <c r="D661" s="97"/>
      <c r="E661" s="97"/>
      <c r="F661" s="97"/>
      <c r="G661" s="97"/>
      <c r="H661" s="97"/>
      <c r="I661" s="46"/>
      <c r="J661" s="64"/>
      <c r="K661" s="45"/>
      <c r="L661" s="46">
        <f>SUMIF(CD60:CD637,4,AR60:AR637)+SUMIF(CD60:CD637,4,AT60:AT637)+SUMIF(CD60:CD637,4,AV60:AV637)</f>
        <v>0</v>
      </c>
    </row>
    <row r="662" spans="1:12" ht="13.8" hidden="1" x14ac:dyDescent="0.25">
      <c r="A662" s="64"/>
      <c r="B662" s="65"/>
      <c r="C662" s="97" t="s">
        <v>314</v>
      </c>
      <c r="D662" s="97"/>
      <c r="E662" s="97"/>
      <c r="F662" s="97"/>
      <c r="G662" s="97"/>
      <c r="H662" s="97"/>
      <c r="I662" s="46"/>
      <c r="J662" s="64"/>
      <c r="K662" s="45"/>
      <c r="L662" s="46">
        <f>SUMIF(CD60:CD637,4,AZ60:AZ637)</f>
        <v>0</v>
      </c>
    </row>
    <row r="663" spans="1:12" ht="13.8" hidden="1" x14ac:dyDescent="0.25">
      <c r="A663" s="64"/>
      <c r="B663" s="65"/>
      <c r="C663" s="97" t="s">
        <v>315</v>
      </c>
      <c r="D663" s="97"/>
      <c r="E663" s="97"/>
      <c r="F663" s="97"/>
      <c r="G663" s="97"/>
      <c r="H663" s="97"/>
      <c r="I663" s="46"/>
      <c r="J663" s="64"/>
      <c r="K663" s="45"/>
      <c r="L663" s="46">
        <f>SUMIF(CD60:CD637,4,BA60:BA637)</f>
        <v>0</v>
      </c>
    </row>
    <row r="665" spans="1:12" ht="13.8" x14ac:dyDescent="0.25">
      <c r="A665" s="61"/>
      <c r="B665" s="62"/>
      <c r="C665" s="98" t="s">
        <v>323</v>
      </c>
      <c r="D665" s="98"/>
      <c r="E665" s="98"/>
      <c r="F665" s="98"/>
      <c r="G665" s="98"/>
      <c r="H665" s="98"/>
      <c r="I665" s="51"/>
      <c r="J665" s="61"/>
      <c r="K665" s="63"/>
      <c r="L665" s="51">
        <f>L594+L614+L634+L639</f>
        <v>113692.81999999999</v>
      </c>
    </row>
    <row r="666" spans="1:12" ht="13.8" x14ac:dyDescent="0.25">
      <c r="A666" s="64"/>
      <c r="B666" s="65"/>
      <c r="C666" s="101" t="s">
        <v>172</v>
      </c>
      <c r="D666" s="97"/>
      <c r="E666" s="97"/>
      <c r="F666" s="97"/>
      <c r="G666" s="97"/>
      <c r="H666" s="97"/>
      <c r="I666" s="46"/>
      <c r="J666" s="64"/>
      <c r="K666" s="45"/>
      <c r="L666" s="46"/>
    </row>
    <row r="667" spans="1:12" ht="13.8" x14ac:dyDescent="0.25">
      <c r="A667" s="64"/>
      <c r="B667" s="65"/>
      <c r="C667" s="97" t="s">
        <v>311</v>
      </c>
      <c r="D667" s="97"/>
      <c r="E667" s="97"/>
      <c r="F667" s="97"/>
      <c r="G667" s="97"/>
      <c r="H667" s="97"/>
      <c r="I667" s="46"/>
      <c r="J667" s="64"/>
      <c r="K667" s="45"/>
      <c r="L667" s="46">
        <f>L669+L670+L676+L680</f>
        <v>74559.789999999994</v>
      </c>
    </row>
    <row r="668" spans="1:12" ht="13.8" x14ac:dyDescent="0.25">
      <c r="A668" s="64"/>
      <c r="B668" s="65"/>
      <c r="C668" s="101" t="s">
        <v>172</v>
      </c>
      <c r="D668" s="97"/>
      <c r="E668" s="97"/>
      <c r="F668" s="97"/>
      <c r="G668" s="97"/>
      <c r="H668" s="97"/>
      <c r="I668" s="46"/>
      <c r="J668" s="64"/>
      <c r="K668" s="45"/>
      <c r="L668" s="46"/>
    </row>
    <row r="669" spans="1:12" ht="13.8" x14ac:dyDescent="0.25">
      <c r="A669" s="64"/>
      <c r="B669" s="65"/>
      <c r="C669" s="97" t="s">
        <v>312</v>
      </c>
      <c r="D669" s="97"/>
      <c r="E669" s="97"/>
      <c r="F669" s="97"/>
      <c r="G669" s="97"/>
      <c r="H669" s="97"/>
      <c r="I669" s="46"/>
      <c r="J669" s="64"/>
      <c r="K669" s="45"/>
      <c r="L669" s="46">
        <f>SUM(AR60:AR663)</f>
        <v>25817.480000000007</v>
      </c>
    </row>
    <row r="670" spans="1:12" ht="13.8" hidden="1" x14ac:dyDescent="0.25">
      <c r="A670" s="64"/>
      <c r="B670" s="65"/>
      <c r="C670" s="97" t="s">
        <v>174</v>
      </c>
      <c r="D670" s="97"/>
      <c r="E670" s="97"/>
      <c r="F670" s="97"/>
      <c r="G670" s="97"/>
      <c r="H670" s="97"/>
      <c r="I670" s="46"/>
      <c r="J670" s="64"/>
      <c r="K670" s="45"/>
      <c r="L670" s="46">
        <f>L672+L675+L674</f>
        <v>320.85000000000002</v>
      </c>
    </row>
    <row r="671" spans="1:12" ht="13.8" hidden="1" x14ac:dyDescent="0.25">
      <c r="A671" s="64"/>
      <c r="B671" s="65"/>
      <c r="C671" s="101" t="s">
        <v>175</v>
      </c>
      <c r="D671" s="97"/>
      <c r="E671" s="97"/>
      <c r="F671" s="97"/>
      <c r="G671" s="97"/>
      <c r="H671" s="97"/>
      <c r="I671" s="46"/>
      <c r="J671" s="64"/>
      <c r="K671" s="45"/>
      <c r="L671" s="46"/>
    </row>
    <row r="672" spans="1:12" ht="13.8" x14ac:dyDescent="0.25">
      <c r="A672" s="64"/>
      <c r="B672" s="65"/>
      <c r="C672" s="97" t="s">
        <v>174</v>
      </c>
      <c r="D672" s="97"/>
      <c r="E672" s="97"/>
      <c r="F672" s="97"/>
      <c r="G672" s="97"/>
      <c r="H672" s="97"/>
      <c r="I672" s="46"/>
      <c r="J672" s="64"/>
      <c r="K672" s="45"/>
      <c r="L672" s="46">
        <f>SUM(AO60:AO663)</f>
        <v>174.26000000000002</v>
      </c>
    </row>
    <row r="673" spans="1:12" ht="13.8" hidden="1" x14ac:dyDescent="0.25">
      <c r="A673" s="64"/>
      <c r="B673" s="65"/>
      <c r="C673" s="101" t="s">
        <v>176</v>
      </c>
      <c r="D673" s="97"/>
      <c r="E673" s="97"/>
      <c r="F673" s="97"/>
      <c r="G673" s="97"/>
      <c r="H673" s="97"/>
      <c r="I673" s="46"/>
      <c r="J673" s="64"/>
      <c r="K673" s="45"/>
      <c r="L673" s="46"/>
    </row>
    <row r="674" spans="1:12" ht="13.8" x14ac:dyDescent="0.25">
      <c r="A674" s="64"/>
      <c r="B674" s="65"/>
      <c r="C674" s="97" t="s">
        <v>177</v>
      </c>
      <c r="D674" s="97"/>
      <c r="E674" s="97"/>
      <c r="F674" s="97"/>
      <c r="G674" s="97"/>
      <c r="H674" s="97"/>
      <c r="I674" s="46"/>
      <c r="J674" s="64"/>
      <c r="K674" s="45"/>
      <c r="L674" s="46">
        <f>SUM(AT60:AT663)</f>
        <v>146.58999999999997</v>
      </c>
    </row>
    <row r="675" spans="1:12" ht="13.8" hidden="1" x14ac:dyDescent="0.25">
      <c r="A675" s="64"/>
      <c r="B675" s="65"/>
      <c r="C675" s="97" t="s">
        <v>178</v>
      </c>
      <c r="D675" s="97"/>
      <c r="E675" s="97"/>
      <c r="F675" s="97"/>
      <c r="G675" s="97"/>
      <c r="H675" s="97"/>
      <c r="I675" s="46"/>
      <c r="J675" s="64"/>
      <c r="K675" s="45"/>
      <c r="L675" s="46">
        <f>SUM(AV60:AV663)</f>
        <v>0</v>
      </c>
    </row>
    <row r="676" spans="1:12" ht="13.8" x14ac:dyDescent="0.25">
      <c r="A676" s="64"/>
      <c r="B676" s="65"/>
      <c r="C676" s="97" t="s">
        <v>179</v>
      </c>
      <c r="D676" s="97"/>
      <c r="E676" s="97"/>
      <c r="F676" s="97"/>
      <c r="G676" s="97"/>
      <c r="H676" s="97"/>
      <c r="I676" s="46"/>
      <c r="J676" s="64"/>
      <c r="K676" s="45"/>
      <c r="L676" s="46">
        <f>L678+L679</f>
        <v>48160.999999999978</v>
      </c>
    </row>
    <row r="677" spans="1:12" ht="13.8" x14ac:dyDescent="0.25">
      <c r="A677" s="64"/>
      <c r="B677" s="65"/>
      <c r="C677" s="101" t="s">
        <v>175</v>
      </c>
      <c r="D677" s="97"/>
      <c r="E677" s="97"/>
      <c r="F677" s="97"/>
      <c r="G677" s="97"/>
      <c r="H677" s="97"/>
      <c r="I677" s="46"/>
      <c r="J677" s="64"/>
      <c r="K677" s="45"/>
      <c r="L677" s="46"/>
    </row>
    <row r="678" spans="1:12" ht="13.8" x14ac:dyDescent="0.25">
      <c r="A678" s="64"/>
      <c r="B678" s="65"/>
      <c r="C678" s="97" t="s">
        <v>180</v>
      </c>
      <c r="D678" s="97"/>
      <c r="E678" s="97"/>
      <c r="F678" s="97"/>
      <c r="G678" s="97"/>
      <c r="H678" s="97"/>
      <c r="I678" s="46"/>
      <c r="J678" s="64"/>
      <c r="K678" s="45"/>
      <c r="L678" s="46">
        <f>SUM(AW60:AW663)-SUM(BK60:BK663)</f>
        <v>48160.999999999978</v>
      </c>
    </row>
    <row r="679" spans="1:12" ht="13.8" hidden="1" x14ac:dyDescent="0.25">
      <c r="A679" s="64"/>
      <c r="B679" s="65"/>
      <c r="C679" s="97" t="s">
        <v>181</v>
      </c>
      <c r="D679" s="97"/>
      <c r="E679" s="97"/>
      <c r="F679" s="97"/>
      <c r="G679" s="97"/>
      <c r="H679" s="97"/>
      <c r="I679" s="46"/>
      <c r="J679" s="64"/>
      <c r="K679" s="45"/>
      <c r="L679" s="46">
        <f>SUM(BC60:BC663)</f>
        <v>0</v>
      </c>
    </row>
    <row r="680" spans="1:12" ht="13.8" x14ac:dyDescent="0.25">
      <c r="A680" s="64"/>
      <c r="B680" s="65"/>
      <c r="C680" s="97" t="s">
        <v>182</v>
      </c>
      <c r="D680" s="97"/>
      <c r="E680" s="97"/>
      <c r="F680" s="97"/>
      <c r="G680" s="97"/>
      <c r="H680" s="97"/>
      <c r="I680" s="46"/>
      <c r="J680" s="64"/>
      <c r="K680" s="45"/>
      <c r="L680" s="46">
        <f>SUM(BB60:BB663)</f>
        <v>260.46000000000004</v>
      </c>
    </row>
    <row r="681" spans="1:12" ht="13.8" x14ac:dyDescent="0.25">
      <c r="A681" s="64"/>
      <c r="B681" s="65"/>
      <c r="C681" s="97" t="s">
        <v>183</v>
      </c>
      <c r="D681" s="97"/>
      <c r="E681" s="97"/>
      <c r="F681" s="97"/>
      <c r="G681" s="97"/>
      <c r="H681" s="97"/>
      <c r="I681" s="46"/>
      <c r="J681" s="64"/>
      <c r="K681" s="45"/>
      <c r="L681" s="46">
        <f>SUM(AR60:AR663)+SUM(AT60:AT663)+SUM(AV60:AV663)</f>
        <v>25964.070000000007</v>
      </c>
    </row>
    <row r="682" spans="1:12" ht="13.8" x14ac:dyDescent="0.25">
      <c r="A682" s="64"/>
      <c r="B682" s="65"/>
      <c r="C682" s="97" t="s">
        <v>184</v>
      </c>
      <c r="D682" s="97"/>
      <c r="E682" s="97"/>
      <c r="F682" s="97"/>
      <c r="G682" s="97"/>
      <c r="H682" s="97"/>
      <c r="I682" s="46"/>
      <c r="J682" s="64"/>
      <c r="K682" s="45"/>
      <c r="L682" s="46">
        <f>SUM(AZ60:AZ663)</f>
        <v>26064.2</v>
      </c>
    </row>
    <row r="683" spans="1:12" ht="13.8" x14ac:dyDescent="0.25">
      <c r="A683" s="64"/>
      <c r="B683" s="65"/>
      <c r="C683" s="97" t="s">
        <v>185</v>
      </c>
      <c r="D683" s="97"/>
      <c r="E683" s="97"/>
      <c r="F683" s="97"/>
      <c r="G683" s="97"/>
      <c r="H683" s="97"/>
      <c r="I683" s="46"/>
      <c r="J683" s="64"/>
      <c r="K683" s="45"/>
      <c r="L683" s="46">
        <f>SUM(BA60:BA663)</f>
        <v>13068.83</v>
      </c>
    </row>
    <row r="684" spans="1:12" ht="13.8" hidden="1" x14ac:dyDescent="0.25">
      <c r="A684" s="64"/>
      <c r="B684" s="65"/>
      <c r="C684" s="97" t="s">
        <v>324</v>
      </c>
      <c r="D684" s="97"/>
      <c r="E684" s="97"/>
      <c r="F684" s="97"/>
      <c r="G684" s="97"/>
      <c r="H684" s="97"/>
      <c r="I684" s="46"/>
      <c r="J684" s="64"/>
      <c r="K684" s="45"/>
      <c r="L684" s="46">
        <f>L686+L687</f>
        <v>0</v>
      </c>
    </row>
    <row r="685" spans="1:12" ht="13.8" hidden="1" x14ac:dyDescent="0.25">
      <c r="A685" s="64"/>
      <c r="B685" s="65"/>
      <c r="C685" s="101" t="s">
        <v>172</v>
      </c>
      <c r="D685" s="97"/>
      <c r="E685" s="97"/>
      <c r="F685" s="97"/>
      <c r="G685" s="97"/>
      <c r="H685" s="97"/>
      <c r="I685" s="46"/>
      <c r="J685" s="64"/>
      <c r="K685" s="45"/>
      <c r="L685" s="46"/>
    </row>
    <row r="686" spans="1:12" ht="13.8" hidden="1" x14ac:dyDescent="0.25">
      <c r="A686" s="64"/>
      <c r="B686" s="65"/>
      <c r="C686" s="97" t="s">
        <v>187</v>
      </c>
      <c r="D686" s="97"/>
      <c r="E686" s="97"/>
      <c r="F686" s="97"/>
      <c r="G686" s="97"/>
      <c r="H686" s="97"/>
      <c r="I686" s="46"/>
      <c r="J686" s="64"/>
      <c r="K686" s="45"/>
      <c r="L686" s="46">
        <f>SUM(BK60:BK663)</f>
        <v>0</v>
      </c>
    </row>
    <row r="687" spans="1:12" ht="13.8" hidden="1" x14ac:dyDescent="0.25">
      <c r="A687" s="64"/>
      <c r="B687" s="65"/>
      <c r="C687" s="97" t="s">
        <v>188</v>
      </c>
      <c r="D687" s="97"/>
      <c r="E687" s="97"/>
      <c r="F687" s="97"/>
      <c r="G687" s="97"/>
      <c r="H687" s="97"/>
      <c r="I687" s="46"/>
      <c r="J687" s="64"/>
      <c r="K687" s="45"/>
      <c r="L687" s="46">
        <f>SUM(BD60:BD663)</f>
        <v>0</v>
      </c>
    </row>
    <row r="688" spans="1:12" ht="13.8" hidden="1" x14ac:dyDescent="0.25">
      <c r="A688" s="64"/>
      <c r="B688" s="65"/>
      <c r="C688" s="97" t="s">
        <v>325</v>
      </c>
      <c r="D688" s="97"/>
      <c r="E688" s="97"/>
      <c r="F688" s="97"/>
      <c r="G688" s="97"/>
      <c r="H688" s="97"/>
      <c r="I688" s="46"/>
      <c r="J688" s="64"/>
      <c r="K688" s="45"/>
      <c r="L688" s="46">
        <f>L639</f>
        <v>0</v>
      </c>
    </row>
    <row r="689" spans="1:12" ht="13.8" x14ac:dyDescent="0.25">
      <c r="A689" s="64"/>
      <c r="B689" s="65"/>
      <c r="C689" s="98" t="s">
        <v>192</v>
      </c>
      <c r="D689" s="97"/>
      <c r="E689" s="97"/>
      <c r="F689" s="97"/>
      <c r="G689" s="97"/>
      <c r="H689" s="97"/>
      <c r="I689" s="46"/>
      <c r="J689" s="64"/>
      <c r="K689" s="45"/>
      <c r="L689" s="46"/>
    </row>
    <row r="690" spans="1:12" ht="13.8" hidden="1" x14ac:dyDescent="0.25">
      <c r="A690" s="64"/>
      <c r="B690" s="65"/>
      <c r="C690" s="97" t="s">
        <v>193</v>
      </c>
      <c r="D690" s="97"/>
      <c r="E690" s="97"/>
      <c r="F690" s="97"/>
      <c r="G690" s="97"/>
      <c r="H690" s="97"/>
      <c r="I690" s="46"/>
      <c r="J690" s="64"/>
      <c r="K690" s="45"/>
      <c r="L690" s="46">
        <f>SUM(AX60:AX663)</f>
        <v>0</v>
      </c>
    </row>
    <row r="691" spans="1:12" ht="13.8" hidden="1" x14ac:dyDescent="0.25">
      <c r="A691" s="64"/>
      <c r="B691" s="65"/>
      <c r="C691" s="97" t="s">
        <v>194</v>
      </c>
      <c r="D691" s="97"/>
      <c r="E691" s="97"/>
      <c r="F691" s="97"/>
      <c r="G691" s="97"/>
      <c r="H691" s="97"/>
      <c r="I691" s="46"/>
      <c r="J691" s="64"/>
      <c r="K691" s="45"/>
      <c r="L691" s="46">
        <f>SUM(AY60:AY663)</f>
        <v>0</v>
      </c>
    </row>
    <row r="692" spans="1:12" ht="13.8" x14ac:dyDescent="0.25">
      <c r="A692" s="64"/>
      <c r="B692" s="65"/>
      <c r="C692" s="97" t="s">
        <v>195</v>
      </c>
      <c r="D692" s="97"/>
      <c r="E692" s="97"/>
      <c r="F692" s="99"/>
      <c r="G692" s="50">
        <f>Source!F229</f>
        <v>37.318728100000001</v>
      </c>
      <c r="H692" s="64"/>
      <c r="I692" s="64"/>
      <c r="J692" s="64"/>
      <c r="K692" s="64"/>
      <c r="L692" s="64"/>
    </row>
    <row r="693" spans="1:12" ht="13.8" x14ac:dyDescent="0.25">
      <c r="A693" s="64"/>
      <c r="B693" s="65"/>
      <c r="C693" s="97" t="s">
        <v>196</v>
      </c>
      <c r="D693" s="97"/>
      <c r="E693" s="97"/>
      <c r="F693" s="99"/>
      <c r="G693" s="50">
        <f>Source!F230</f>
        <v>0.2046172</v>
      </c>
      <c r="H693" s="64"/>
      <c r="I693" s="64"/>
      <c r="J693" s="64"/>
      <c r="K693" s="64"/>
      <c r="L693" s="64"/>
    </row>
    <row r="694" spans="1:12" s="83" customFormat="1" ht="13.8" x14ac:dyDescent="0.25">
      <c r="A694" s="78"/>
      <c r="B694" s="79"/>
      <c r="C694" s="80" t="s">
        <v>323</v>
      </c>
      <c r="D694" s="80"/>
      <c r="E694" s="80"/>
      <c r="F694" s="81"/>
      <c r="G694" s="82"/>
      <c r="H694" s="78"/>
      <c r="I694" s="78"/>
      <c r="J694" s="78"/>
      <c r="K694" s="78"/>
      <c r="L694" s="84">
        <f>L665</f>
        <v>113692.81999999999</v>
      </c>
    </row>
    <row r="695" spans="1:12" s="83" customFormat="1" ht="13.8" x14ac:dyDescent="0.25">
      <c r="A695" s="78"/>
      <c r="B695" s="79"/>
      <c r="C695" s="80" t="s">
        <v>570</v>
      </c>
      <c r="D695" s="80"/>
      <c r="E695" s="80"/>
      <c r="F695" s="81"/>
      <c r="G695" s="82"/>
      <c r="H695" s="78"/>
      <c r="I695" s="78"/>
      <c r="J695" s="78"/>
      <c r="K695" s="78"/>
      <c r="L695" s="84">
        <f>L694*0.22</f>
        <v>25012.420399999999</v>
      </c>
    </row>
    <row r="696" spans="1:12" s="83" customFormat="1" ht="13.8" x14ac:dyDescent="0.25">
      <c r="A696" s="78"/>
      <c r="B696" s="79"/>
      <c r="C696" s="80" t="s">
        <v>323</v>
      </c>
      <c r="D696" s="80"/>
      <c r="E696" s="80"/>
      <c r="F696" s="81"/>
      <c r="G696" s="82"/>
      <c r="H696" s="78"/>
      <c r="I696" s="78"/>
      <c r="J696" s="78"/>
      <c r="K696" s="78"/>
      <c r="L696" s="84">
        <f>L694+L695</f>
        <v>138705.24039999998</v>
      </c>
    </row>
    <row r="700" spans="1:12" ht="13.8" customHeight="1" x14ac:dyDescent="0.25">
      <c r="A700" s="69"/>
      <c r="B700" s="70" t="s">
        <v>326</v>
      </c>
      <c r="C700" s="71" t="str">
        <f>IF(Source!AC12&lt;&gt;"",Source!AC12," ")</f>
        <v xml:space="preserve"> </v>
      </c>
      <c r="D700" s="38"/>
      <c r="E700" s="38"/>
      <c r="F700" s="38"/>
      <c r="G700" s="38"/>
      <c r="H700" s="12" t="str">
        <f>IF(Source!AB12&lt;&gt;"",Source!AB12," ")</f>
        <v xml:space="preserve"> </v>
      </c>
      <c r="I700" s="72"/>
      <c r="J700" s="72"/>
      <c r="K700" s="73"/>
      <c r="L700" s="73"/>
    </row>
    <row r="701" spans="1:12" ht="13.8" customHeight="1" x14ac:dyDescent="0.25">
      <c r="A701" s="69"/>
      <c r="B701" s="74"/>
      <c r="C701" s="100" t="s">
        <v>327</v>
      </c>
      <c r="D701" s="100"/>
      <c r="E701" s="100"/>
      <c r="F701" s="100"/>
      <c r="G701" s="100"/>
      <c r="H701" s="72"/>
      <c r="I701" s="72"/>
      <c r="J701" s="72"/>
      <c r="K701" s="73"/>
      <c r="L701" s="73"/>
    </row>
    <row r="702" spans="1:12" ht="13.8" customHeight="1" x14ac:dyDescent="0.25">
      <c r="A702" s="69"/>
      <c r="B702" s="74"/>
      <c r="C702" s="11"/>
      <c r="D702" s="11"/>
      <c r="E702" s="11"/>
      <c r="F702" s="11"/>
      <c r="G702" s="11"/>
      <c r="H702" s="72"/>
      <c r="I702" s="72"/>
      <c r="J702" s="72"/>
      <c r="K702" s="73"/>
      <c r="L702" s="73"/>
    </row>
    <row r="703" spans="1:12" ht="13.8" customHeight="1" x14ac:dyDescent="0.25">
      <c r="A703" s="69"/>
      <c r="B703" s="70" t="s">
        <v>328</v>
      </c>
      <c r="C703" s="71" t="str">
        <f>IF(Source!AE12&lt;&gt;"",Source!AE12," ")</f>
        <v xml:space="preserve"> </v>
      </c>
      <c r="D703" s="38"/>
      <c r="E703" s="38"/>
      <c r="F703" s="38"/>
      <c r="G703" s="38"/>
      <c r="H703" s="12" t="str">
        <f>IF(Source!AD12&lt;&gt;"",Source!AD12," ")</f>
        <v xml:space="preserve"> </v>
      </c>
      <c r="I703" s="72"/>
      <c r="J703" s="72"/>
      <c r="K703" s="73"/>
      <c r="L703" s="73"/>
    </row>
    <row r="704" spans="1:12" ht="13.8" customHeight="1" x14ac:dyDescent="0.25">
      <c r="A704" s="11"/>
      <c r="B704" s="11"/>
      <c r="C704" s="100" t="s">
        <v>327</v>
      </c>
      <c r="D704" s="100"/>
      <c r="E704" s="100"/>
      <c r="F704" s="100"/>
      <c r="G704" s="100"/>
      <c r="H704" s="72"/>
      <c r="I704" s="72"/>
      <c r="J704" s="72"/>
      <c r="K704" s="73"/>
      <c r="L704" s="73"/>
    </row>
  </sheetData>
  <mergeCells count="340">
    <mergeCell ref="B3:E3"/>
    <mergeCell ref="H3:L3"/>
    <mergeCell ref="B4:E4"/>
    <mergeCell ref="H4:L4"/>
    <mergeCell ref="B6:E6"/>
    <mergeCell ref="H6:L6"/>
    <mergeCell ref="B7:E7"/>
    <mergeCell ref="H7:L7"/>
    <mergeCell ref="A10:E10"/>
    <mergeCell ref="F10:L10"/>
    <mergeCell ref="A12:E12"/>
    <mergeCell ref="F12:L12"/>
    <mergeCell ref="A14:E14"/>
    <mergeCell ref="F14:L14"/>
    <mergeCell ref="A16:E16"/>
    <mergeCell ref="F16:L16"/>
    <mergeCell ref="A18:E18"/>
    <mergeCell ref="F18:L18"/>
    <mergeCell ref="A20:E20"/>
    <mergeCell ref="F20:L20"/>
    <mergeCell ref="A22:E22"/>
    <mergeCell ref="F22:L22"/>
    <mergeCell ref="A24:E24"/>
    <mergeCell ref="F24:L24"/>
    <mergeCell ref="A27:L27"/>
    <mergeCell ref="A28:L28"/>
    <mergeCell ref="A30:L30"/>
    <mergeCell ref="A31:L31"/>
    <mergeCell ref="A33:L33"/>
    <mergeCell ref="A35:L35"/>
    <mergeCell ref="A36:L36"/>
    <mergeCell ref="C41:L41"/>
    <mergeCell ref="C42:L42"/>
    <mergeCell ref="C46:D46"/>
    <mergeCell ref="C49:D49"/>
    <mergeCell ref="C50:D50"/>
    <mergeCell ref="C51:D51"/>
    <mergeCell ref="C52:D52"/>
    <mergeCell ref="A61:L61"/>
    <mergeCell ref="C78:H78"/>
    <mergeCell ref="I78:J78"/>
    <mergeCell ref="K78:L78"/>
    <mergeCell ref="C80:H80"/>
    <mergeCell ref="I80:J80"/>
    <mergeCell ref="K80:L80"/>
    <mergeCell ref="C99:H99"/>
    <mergeCell ref="I99:J99"/>
    <mergeCell ref="K99:L99"/>
    <mergeCell ref="C126:H126"/>
    <mergeCell ref="I126:J126"/>
    <mergeCell ref="K126:L126"/>
    <mergeCell ref="C147:H147"/>
    <mergeCell ref="I147:J147"/>
    <mergeCell ref="K147:L147"/>
    <mergeCell ref="C149:L149"/>
    <mergeCell ref="C168:H168"/>
    <mergeCell ref="I168:J168"/>
    <mergeCell ref="K168:L168"/>
    <mergeCell ref="C170:L170"/>
    <mergeCell ref="C190:H190"/>
    <mergeCell ref="I190:J190"/>
    <mergeCell ref="K190:L190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F220"/>
    <mergeCell ref="C221:F221"/>
    <mergeCell ref="A224:L224"/>
    <mergeCell ref="C252:H252"/>
    <mergeCell ref="I252:J252"/>
    <mergeCell ref="K252:L252"/>
    <mergeCell ref="C265:H265"/>
    <mergeCell ref="I265:J265"/>
    <mergeCell ref="K265:L265"/>
    <mergeCell ref="C267:L267"/>
    <mergeCell ref="C304:H304"/>
    <mergeCell ref="I304:J304"/>
    <mergeCell ref="K304:L304"/>
    <mergeCell ref="C306:L306"/>
    <mergeCell ref="C321:H321"/>
    <mergeCell ref="I321:J321"/>
    <mergeCell ref="K321:L321"/>
    <mergeCell ref="C323:L323"/>
    <mergeCell ref="C345:H345"/>
    <mergeCell ref="I345:J345"/>
    <mergeCell ref="K345:L345"/>
    <mergeCell ref="C365:H365"/>
    <mergeCell ref="I365:J365"/>
    <mergeCell ref="K365:L365"/>
    <mergeCell ref="C367:H367"/>
    <mergeCell ref="C368:H368"/>
    <mergeCell ref="C369:H369"/>
    <mergeCell ref="C370:H370"/>
    <mergeCell ref="C371:H371"/>
    <mergeCell ref="C372:H372"/>
    <mergeCell ref="C373:H373"/>
    <mergeCell ref="C374:H374"/>
    <mergeCell ref="C375:H375"/>
    <mergeCell ref="C376:H376"/>
    <mergeCell ref="C377:H377"/>
    <mergeCell ref="C378:H378"/>
    <mergeCell ref="C379:H379"/>
    <mergeCell ref="C380:H380"/>
    <mergeCell ref="C381:H381"/>
    <mergeCell ref="C382:H382"/>
    <mergeCell ref="C383:H383"/>
    <mergeCell ref="C384:H384"/>
    <mergeCell ref="C385:H385"/>
    <mergeCell ref="C386:H386"/>
    <mergeCell ref="C387:H387"/>
    <mergeCell ref="C388:H388"/>
    <mergeCell ref="C389:H389"/>
    <mergeCell ref="C390:H390"/>
    <mergeCell ref="C391:H391"/>
    <mergeCell ref="C392:H392"/>
    <mergeCell ref="C393:H393"/>
    <mergeCell ref="C394:H394"/>
    <mergeCell ref="C395:F395"/>
    <mergeCell ref="C396:F396"/>
    <mergeCell ref="A399:L399"/>
    <mergeCell ref="C427:H427"/>
    <mergeCell ref="I427:J427"/>
    <mergeCell ref="K427:L427"/>
    <mergeCell ref="C448:H448"/>
    <mergeCell ref="I448:J448"/>
    <mergeCell ref="K448:L448"/>
    <mergeCell ref="C450:L450"/>
    <mergeCell ref="C469:H469"/>
    <mergeCell ref="I469:J469"/>
    <mergeCell ref="K469:L469"/>
    <mergeCell ref="C471:L471"/>
    <mergeCell ref="C491:H491"/>
    <mergeCell ref="I491:J491"/>
    <mergeCell ref="K491:L491"/>
    <mergeCell ref="C508:H508"/>
    <mergeCell ref="I508:J508"/>
    <mergeCell ref="K508:L508"/>
    <mergeCell ref="C510:H510"/>
    <mergeCell ref="I510:J510"/>
    <mergeCell ref="K510:L510"/>
    <mergeCell ref="C512:H512"/>
    <mergeCell ref="C513:H513"/>
    <mergeCell ref="C514:H514"/>
    <mergeCell ref="C515:H515"/>
    <mergeCell ref="C516:H516"/>
    <mergeCell ref="C517:H517"/>
    <mergeCell ref="C518:H518"/>
    <mergeCell ref="C519:H519"/>
    <mergeCell ref="C520:H520"/>
    <mergeCell ref="C521:H521"/>
    <mergeCell ref="C522:H522"/>
    <mergeCell ref="C523:H523"/>
    <mergeCell ref="C524:H524"/>
    <mergeCell ref="C525:H525"/>
    <mergeCell ref="C526:H526"/>
    <mergeCell ref="C527:H527"/>
    <mergeCell ref="C528:H528"/>
    <mergeCell ref="C529:H529"/>
    <mergeCell ref="C530:H530"/>
    <mergeCell ref="C531:H531"/>
    <mergeCell ref="C532:H532"/>
    <mergeCell ref="C533:H533"/>
    <mergeCell ref="C534:H534"/>
    <mergeCell ref="C535:H535"/>
    <mergeCell ref="C536:H536"/>
    <mergeCell ref="C537:H537"/>
    <mergeCell ref="C538:H538"/>
    <mergeCell ref="C539:H539"/>
    <mergeCell ref="C540:F540"/>
    <mergeCell ref="C541:F541"/>
    <mergeCell ref="A544:L544"/>
    <mergeCell ref="C554:H554"/>
    <mergeCell ref="I554:J554"/>
    <mergeCell ref="K554:L554"/>
    <mergeCell ref="C556:H556"/>
    <mergeCell ref="I556:J556"/>
    <mergeCell ref="K556:L556"/>
    <mergeCell ref="C558:H558"/>
    <mergeCell ref="I558:J558"/>
    <mergeCell ref="K558:L558"/>
    <mergeCell ref="C560:H560"/>
    <mergeCell ref="C561:H561"/>
    <mergeCell ref="C562:H562"/>
    <mergeCell ref="C563:H563"/>
    <mergeCell ref="C564:H564"/>
    <mergeCell ref="C565:H565"/>
    <mergeCell ref="C566:H566"/>
    <mergeCell ref="C567:H567"/>
    <mergeCell ref="C568:H568"/>
    <mergeCell ref="C569:H569"/>
    <mergeCell ref="C570:H570"/>
    <mergeCell ref="C571:H571"/>
    <mergeCell ref="C572:H572"/>
    <mergeCell ref="C573:H573"/>
    <mergeCell ref="C574:H574"/>
    <mergeCell ref="C575:H575"/>
    <mergeCell ref="C576:H576"/>
    <mergeCell ref="C577:H577"/>
    <mergeCell ref="C578:H578"/>
    <mergeCell ref="C579:H579"/>
    <mergeCell ref="C580:H580"/>
    <mergeCell ref="C581:H581"/>
    <mergeCell ref="C582:H582"/>
    <mergeCell ref="C583:H583"/>
    <mergeCell ref="C584:H584"/>
    <mergeCell ref="C585:H585"/>
    <mergeCell ref="C586:H586"/>
    <mergeCell ref="C587:H587"/>
    <mergeCell ref="C588:F588"/>
    <mergeCell ref="C589:F589"/>
    <mergeCell ref="C592:H592"/>
    <mergeCell ref="C594:H594"/>
    <mergeCell ref="C595:H595"/>
    <mergeCell ref="C596:H596"/>
    <mergeCell ref="C597:H597"/>
    <mergeCell ref="C598:H598"/>
    <mergeCell ref="C599:H599"/>
    <mergeCell ref="C600:H600"/>
    <mergeCell ref="C601:H601"/>
    <mergeCell ref="C602:H602"/>
    <mergeCell ref="C603:H603"/>
    <mergeCell ref="C604:H604"/>
    <mergeCell ref="C605:H605"/>
    <mergeCell ref="C606:H606"/>
    <mergeCell ref="C607:H607"/>
    <mergeCell ref="C608:H608"/>
    <mergeCell ref="C609:H609"/>
    <mergeCell ref="C610:H610"/>
    <mergeCell ref="C611:H611"/>
    <mergeCell ref="C612:H612"/>
    <mergeCell ref="C614:H614"/>
    <mergeCell ref="C615:H615"/>
    <mergeCell ref="C616:H616"/>
    <mergeCell ref="C617:H617"/>
    <mergeCell ref="C618:H618"/>
    <mergeCell ref="C619:H619"/>
    <mergeCell ref="C620:H620"/>
    <mergeCell ref="C621:H621"/>
    <mergeCell ref="C622:H622"/>
    <mergeCell ref="C623:H623"/>
    <mergeCell ref="C624:H624"/>
    <mergeCell ref="C625:H625"/>
    <mergeCell ref="C626:H626"/>
    <mergeCell ref="C627:H627"/>
    <mergeCell ref="C628:H628"/>
    <mergeCell ref="C629:H629"/>
    <mergeCell ref="C630:H630"/>
    <mergeCell ref="C631:H631"/>
    <mergeCell ref="C632:H632"/>
    <mergeCell ref="C634:H634"/>
    <mergeCell ref="C635:H635"/>
    <mergeCell ref="C636:H636"/>
    <mergeCell ref="C637:H637"/>
    <mergeCell ref="C639:H639"/>
    <mergeCell ref="C640:H640"/>
    <mergeCell ref="C641:H641"/>
    <mergeCell ref="C642:H642"/>
    <mergeCell ref="C643:H643"/>
    <mergeCell ref="C644:H644"/>
    <mergeCell ref="C645:H645"/>
    <mergeCell ref="C646:H646"/>
    <mergeCell ref="C647:H647"/>
    <mergeCell ref="C648:H648"/>
    <mergeCell ref="C649:H649"/>
    <mergeCell ref="C666:H666"/>
    <mergeCell ref="C667:H667"/>
    <mergeCell ref="C668:H668"/>
    <mergeCell ref="C650:H650"/>
    <mergeCell ref="C651:H651"/>
    <mergeCell ref="C652:H652"/>
    <mergeCell ref="C653:H653"/>
    <mergeCell ref="C654:H654"/>
    <mergeCell ref="C655:H655"/>
    <mergeCell ref="C656:H656"/>
    <mergeCell ref="C657:H657"/>
    <mergeCell ref="C658:H658"/>
    <mergeCell ref="C690:H690"/>
    <mergeCell ref="C691:H691"/>
    <mergeCell ref="C692:F692"/>
    <mergeCell ref="C693:F693"/>
    <mergeCell ref="C701:G701"/>
    <mergeCell ref="C704:G704"/>
    <mergeCell ref="C678:H678"/>
    <mergeCell ref="C679:H679"/>
    <mergeCell ref="C680:H680"/>
    <mergeCell ref="C681:H681"/>
    <mergeCell ref="C682:H682"/>
    <mergeCell ref="C683:H683"/>
    <mergeCell ref="C684:H684"/>
    <mergeCell ref="C685:H685"/>
    <mergeCell ref="C686:H686"/>
    <mergeCell ref="A54:A58"/>
    <mergeCell ref="B54:B58"/>
    <mergeCell ref="C54:C58"/>
    <mergeCell ref="D54:D58"/>
    <mergeCell ref="E54:G57"/>
    <mergeCell ref="H54:L57"/>
    <mergeCell ref="C687:H687"/>
    <mergeCell ref="C688:H688"/>
    <mergeCell ref="C689:H689"/>
    <mergeCell ref="C669:H669"/>
    <mergeCell ref="C670:H670"/>
    <mergeCell ref="C671:H671"/>
    <mergeCell ref="C672:H672"/>
    <mergeCell ref="C673:H673"/>
    <mergeCell ref="C674:H674"/>
    <mergeCell ref="C675:H675"/>
    <mergeCell ref="C676:H676"/>
    <mergeCell ref="C677:H677"/>
    <mergeCell ref="C659:H659"/>
    <mergeCell ref="C660:H660"/>
    <mergeCell ref="C661:H661"/>
    <mergeCell ref="C662:H662"/>
    <mergeCell ref="C663:H663"/>
    <mergeCell ref="C665:H665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03"/>
  <sheetViews>
    <sheetView workbookViewId="0">
      <selection activeCell="F7" sqref="F7"/>
    </sheetView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329</v>
      </c>
      <c r="D1" t="s">
        <v>330</v>
      </c>
      <c r="F1">
        <v>0</v>
      </c>
      <c r="G1">
        <v>0</v>
      </c>
      <c r="H1">
        <v>0</v>
      </c>
      <c r="I1" t="s">
        <v>331</v>
      </c>
      <c r="J1" t="s">
        <v>332</v>
      </c>
      <c r="K1">
        <v>1</v>
      </c>
      <c r="L1">
        <v>72597</v>
      </c>
      <c r="M1">
        <v>63736869</v>
      </c>
      <c r="N1">
        <v>12</v>
      </c>
      <c r="O1">
        <v>0</v>
      </c>
      <c r="P1">
        <v>0</v>
      </c>
      <c r="Q1">
        <v>3</v>
      </c>
    </row>
    <row r="12" spans="1:133" x14ac:dyDescent="0.25">
      <c r="A12" s="1">
        <v>1</v>
      </c>
      <c r="B12" s="1">
        <v>297</v>
      </c>
      <c r="C12" s="1">
        <v>0</v>
      </c>
      <c r="D12" s="1">
        <f>ROW(A237)</f>
        <v>237</v>
      </c>
      <c r="E12" s="1">
        <v>0</v>
      </c>
      <c r="F12" s="1" t="s">
        <v>332</v>
      </c>
      <c r="G12" s="1" t="s">
        <v>720</v>
      </c>
      <c r="H12" s="1" t="s">
        <v>332</v>
      </c>
      <c r="I12" s="1">
        <v>0</v>
      </c>
      <c r="J12" s="1" t="s">
        <v>332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332</v>
      </c>
      <c r="V12" s="1">
        <v>0</v>
      </c>
      <c r="W12" s="1" t="s">
        <v>332</v>
      </c>
      <c r="X12" s="1" t="s">
        <v>332</v>
      </c>
      <c r="Y12" s="1" t="s">
        <v>332</v>
      </c>
      <c r="Z12" s="1" t="s">
        <v>332</v>
      </c>
      <c r="AA12" s="1" t="s">
        <v>332</v>
      </c>
      <c r="AB12" s="1" t="s">
        <v>332</v>
      </c>
      <c r="AC12" s="1" t="s">
        <v>332</v>
      </c>
      <c r="AD12" s="1" t="s">
        <v>332</v>
      </c>
      <c r="AE12" s="1" t="s">
        <v>332</v>
      </c>
      <c r="AF12" s="1" t="s">
        <v>332</v>
      </c>
      <c r="AG12" s="1" t="s">
        <v>332</v>
      </c>
      <c r="AH12" s="1" t="s">
        <v>332</v>
      </c>
      <c r="AI12" s="1" t="s">
        <v>332</v>
      </c>
      <c r="AJ12" s="1" t="s">
        <v>332</v>
      </c>
      <c r="AK12" s="1"/>
      <c r="AL12" s="1" t="s">
        <v>332</v>
      </c>
      <c r="AM12" s="1" t="s">
        <v>332</v>
      </c>
      <c r="AN12" s="1" t="s">
        <v>332</v>
      </c>
      <c r="AO12" s="1"/>
      <c r="AP12" s="1" t="s">
        <v>332</v>
      </c>
      <c r="AQ12" s="1" t="s">
        <v>332</v>
      </c>
      <c r="AR12" s="1" t="s">
        <v>332</v>
      </c>
      <c r="AS12" s="1"/>
      <c r="AT12" s="1"/>
      <c r="AU12" s="1"/>
      <c r="AV12" s="1"/>
      <c r="AW12" s="1"/>
      <c r="AX12" s="1" t="s">
        <v>332</v>
      </c>
      <c r="AY12" s="1" t="s">
        <v>332</v>
      </c>
      <c r="AZ12" s="1" t="s">
        <v>332</v>
      </c>
      <c r="BA12" s="1"/>
      <c r="BB12" s="1">
        <v>0</v>
      </c>
      <c r="BC12" s="1"/>
      <c r="BD12" s="1"/>
      <c r="BE12" s="1"/>
      <c r="BF12" s="1"/>
      <c r="BG12" s="1"/>
      <c r="BH12" s="1" t="s">
        <v>334</v>
      </c>
      <c r="BI12" s="1" t="s">
        <v>335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1</v>
      </c>
      <c r="BU12" s="1">
        <v>0</v>
      </c>
      <c r="BV12" s="1">
        <v>1</v>
      </c>
      <c r="BW12" s="1">
        <v>1</v>
      </c>
      <c r="BX12" s="1">
        <v>0</v>
      </c>
      <c r="BY12" s="1" t="s">
        <v>336</v>
      </c>
      <c r="BZ12" s="1" t="s">
        <v>337</v>
      </c>
      <c r="CA12" s="1" t="s">
        <v>338</v>
      </c>
      <c r="CB12" s="1" t="s">
        <v>338</v>
      </c>
      <c r="CC12" s="1" t="s">
        <v>338</v>
      </c>
      <c r="CD12" s="1" t="s">
        <v>338</v>
      </c>
      <c r="CE12" s="1" t="s">
        <v>339</v>
      </c>
      <c r="CF12" s="1">
        <v>0</v>
      </c>
      <c r="CG12" s="1">
        <v>0</v>
      </c>
      <c r="CH12" s="1">
        <v>487096328</v>
      </c>
      <c r="CI12" s="1" t="s">
        <v>332</v>
      </c>
      <c r="CJ12" s="1" t="s">
        <v>332</v>
      </c>
      <c r="CK12" s="1">
        <v>17</v>
      </c>
      <c r="CL12" s="1"/>
      <c r="CM12" s="1"/>
      <c r="CN12" s="1"/>
      <c r="CO12" s="1"/>
      <c r="CP12" s="1"/>
      <c r="CQ12" s="1" t="s">
        <v>340</v>
      </c>
      <c r="CR12" s="1" t="s">
        <v>341</v>
      </c>
      <c r="CS12" s="1">
        <v>46073</v>
      </c>
      <c r="CT12" s="1">
        <v>540</v>
      </c>
      <c r="CU12" s="1">
        <v>17</v>
      </c>
      <c r="CV12" s="1" t="s">
        <v>342</v>
      </c>
      <c r="CW12" s="1"/>
      <c r="CX12" s="1"/>
      <c r="CY12" s="1">
        <v>0</v>
      </c>
      <c r="CZ12" s="1" t="s">
        <v>332</v>
      </c>
      <c r="DA12" s="1" t="s">
        <v>332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5">
      <c r="A18" s="7">
        <v>52</v>
      </c>
      <c r="B18" s="7">
        <f t="shared" ref="B18:G18" si="0">B237</f>
        <v>297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H18" s="7"/>
      <c r="I18" s="7"/>
      <c r="J18" s="7"/>
      <c r="K18" s="7"/>
      <c r="L18" s="7"/>
      <c r="M18" s="7"/>
      <c r="N18" s="7"/>
      <c r="O18" s="7">
        <f t="shared" ref="O18:AT18" si="1">O237</f>
        <v>74299.33</v>
      </c>
      <c r="P18" s="7">
        <f t="shared" si="1"/>
        <v>48161</v>
      </c>
      <c r="Q18" s="7">
        <f t="shared" si="1"/>
        <v>174.26</v>
      </c>
      <c r="R18" s="7">
        <f t="shared" si="1"/>
        <v>146.59</v>
      </c>
      <c r="S18" s="7">
        <f t="shared" si="1"/>
        <v>25817.48</v>
      </c>
      <c r="T18" s="7">
        <f t="shared" si="1"/>
        <v>0</v>
      </c>
      <c r="U18" s="7">
        <f t="shared" si="1"/>
        <v>37.318728100000001</v>
      </c>
      <c r="V18" s="7">
        <f t="shared" si="1"/>
        <v>0.20461720000000003</v>
      </c>
      <c r="W18" s="7">
        <f t="shared" si="1"/>
        <v>0</v>
      </c>
      <c r="X18" s="7">
        <f t="shared" si="1"/>
        <v>26064.2</v>
      </c>
      <c r="Y18" s="7">
        <f t="shared" si="1"/>
        <v>13068.83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0</v>
      </c>
      <c r="AQ18" s="7">
        <f t="shared" si="1"/>
        <v>0</v>
      </c>
      <c r="AR18" s="7">
        <f t="shared" si="1"/>
        <v>113692.82</v>
      </c>
      <c r="AS18" s="7">
        <f t="shared" si="1"/>
        <v>113692.82</v>
      </c>
      <c r="AT18" s="7">
        <f t="shared" si="1"/>
        <v>0</v>
      </c>
      <c r="AU18" s="7">
        <f t="shared" ref="AU18:BZ18" si="2">AU237</f>
        <v>0</v>
      </c>
      <c r="AV18" s="7">
        <f t="shared" si="2"/>
        <v>48161</v>
      </c>
      <c r="AW18" s="7">
        <f t="shared" si="2"/>
        <v>48161</v>
      </c>
      <c r="AX18" s="7">
        <f t="shared" si="2"/>
        <v>0</v>
      </c>
      <c r="AY18" s="7">
        <f t="shared" si="2"/>
        <v>48161</v>
      </c>
      <c r="AZ18" s="7">
        <f t="shared" si="2"/>
        <v>0</v>
      </c>
      <c r="BA18" s="7">
        <f t="shared" si="2"/>
        <v>0</v>
      </c>
      <c r="BB18" s="7">
        <f t="shared" si="2"/>
        <v>0</v>
      </c>
      <c r="BC18" s="7">
        <f t="shared" si="2"/>
        <v>0</v>
      </c>
      <c r="BD18" s="7">
        <f t="shared" si="2"/>
        <v>260.45999999999998</v>
      </c>
      <c r="BE18" s="7">
        <f t="shared" si="2"/>
        <v>0</v>
      </c>
      <c r="BF18" s="7">
        <f t="shared" si="2"/>
        <v>0</v>
      </c>
      <c r="BG18" s="7">
        <f t="shared" si="2"/>
        <v>0</v>
      </c>
      <c r="BH18" s="7">
        <f t="shared" si="2"/>
        <v>0</v>
      </c>
      <c r="BI18" s="7">
        <f t="shared" si="2"/>
        <v>0</v>
      </c>
      <c r="BJ18" s="7">
        <f t="shared" si="2"/>
        <v>0</v>
      </c>
      <c r="BK18" s="7">
        <f t="shared" si="2"/>
        <v>0</v>
      </c>
      <c r="BL18" s="7">
        <f t="shared" si="2"/>
        <v>0</v>
      </c>
      <c r="BM18" s="7">
        <f t="shared" si="2"/>
        <v>0</v>
      </c>
      <c r="BN18" s="7">
        <f t="shared" si="2"/>
        <v>0</v>
      </c>
      <c r="BO18" s="7">
        <f t="shared" si="2"/>
        <v>0</v>
      </c>
      <c r="BP18" s="7">
        <f t="shared" si="2"/>
        <v>0</v>
      </c>
      <c r="BQ18" s="7">
        <f t="shared" si="2"/>
        <v>0</v>
      </c>
      <c r="BR18" s="7">
        <f t="shared" si="2"/>
        <v>0</v>
      </c>
      <c r="BS18" s="7">
        <f t="shared" si="2"/>
        <v>0</v>
      </c>
      <c r="BT18" s="7">
        <f t="shared" si="2"/>
        <v>0</v>
      </c>
      <c r="BU18" s="7">
        <f t="shared" si="2"/>
        <v>0</v>
      </c>
      <c r="BV18" s="7">
        <f t="shared" si="2"/>
        <v>0</v>
      </c>
      <c r="BW18" s="7">
        <f t="shared" si="2"/>
        <v>0</v>
      </c>
      <c r="BX18" s="7">
        <f t="shared" si="2"/>
        <v>0</v>
      </c>
      <c r="BY18" s="7">
        <f t="shared" si="2"/>
        <v>0</v>
      </c>
      <c r="BZ18" s="7">
        <f t="shared" si="2"/>
        <v>0</v>
      </c>
      <c r="CA18" s="7">
        <f t="shared" ref="CA18:DF18" si="3">CA237</f>
        <v>0</v>
      </c>
      <c r="CB18" s="7">
        <f t="shared" si="3"/>
        <v>0</v>
      </c>
      <c r="CC18" s="7">
        <f t="shared" si="3"/>
        <v>0</v>
      </c>
      <c r="CD18" s="7">
        <f t="shared" si="3"/>
        <v>0</v>
      </c>
      <c r="CE18" s="7">
        <f t="shared" si="3"/>
        <v>0</v>
      </c>
      <c r="CF18" s="7">
        <f t="shared" si="3"/>
        <v>0</v>
      </c>
      <c r="CG18" s="7">
        <f t="shared" si="3"/>
        <v>0</v>
      </c>
      <c r="CH18" s="7">
        <f t="shared" si="3"/>
        <v>0</v>
      </c>
      <c r="CI18" s="7">
        <f t="shared" si="3"/>
        <v>0</v>
      </c>
      <c r="CJ18" s="7">
        <f t="shared" si="3"/>
        <v>0</v>
      </c>
      <c r="CK18" s="7">
        <f t="shared" si="3"/>
        <v>0</v>
      </c>
      <c r="CL18" s="7">
        <f t="shared" si="3"/>
        <v>0</v>
      </c>
      <c r="CM18" s="7">
        <f t="shared" si="3"/>
        <v>0</v>
      </c>
      <c r="CN18" s="7">
        <f t="shared" si="3"/>
        <v>0</v>
      </c>
      <c r="CO18" s="7">
        <f t="shared" si="3"/>
        <v>0</v>
      </c>
      <c r="CP18" s="7">
        <f t="shared" si="3"/>
        <v>0</v>
      </c>
      <c r="CQ18" s="7">
        <f t="shared" si="3"/>
        <v>0</v>
      </c>
      <c r="CR18" s="7">
        <f t="shared" si="3"/>
        <v>0</v>
      </c>
      <c r="CS18" s="7">
        <f t="shared" si="3"/>
        <v>0</v>
      </c>
      <c r="CT18" s="7">
        <f t="shared" si="3"/>
        <v>0</v>
      </c>
      <c r="CU18" s="7">
        <f t="shared" si="3"/>
        <v>0</v>
      </c>
      <c r="CV18" s="7">
        <f t="shared" si="3"/>
        <v>0</v>
      </c>
      <c r="CW18" s="7">
        <f t="shared" si="3"/>
        <v>0</v>
      </c>
      <c r="CX18" s="7">
        <f t="shared" si="3"/>
        <v>0</v>
      </c>
      <c r="CY18" s="7">
        <f t="shared" si="3"/>
        <v>0</v>
      </c>
      <c r="CZ18" s="7">
        <f t="shared" si="3"/>
        <v>0</v>
      </c>
      <c r="DA18" s="7">
        <f t="shared" si="3"/>
        <v>0</v>
      </c>
      <c r="DB18" s="7">
        <f t="shared" si="3"/>
        <v>0</v>
      </c>
      <c r="DC18" s="7">
        <f t="shared" si="3"/>
        <v>0</v>
      </c>
      <c r="DD18" s="7">
        <f t="shared" si="3"/>
        <v>0</v>
      </c>
      <c r="DE18" s="7">
        <f t="shared" si="3"/>
        <v>0</v>
      </c>
      <c r="DF18" s="7">
        <f t="shared" si="3"/>
        <v>0</v>
      </c>
      <c r="DG18" s="5">
        <f t="shared" ref="DG18:EL18" si="4">DG237</f>
        <v>0</v>
      </c>
      <c r="DH18" s="5">
        <f t="shared" si="4"/>
        <v>0</v>
      </c>
      <c r="DI18" s="5">
        <f t="shared" si="4"/>
        <v>0</v>
      </c>
      <c r="DJ18" s="5">
        <f t="shared" si="4"/>
        <v>0</v>
      </c>
      <c r="DK18" s="5">
        <f t="shared" si="4"/>
        <v>0</v>
      </c>
      <c r="DL18" s="5">
        <f t="shared" si="4"/>
        <v>0</v>
      </c>
      <c r="DM18" s="5">
        <f t="shared" si="4"/>
        <v>0</v>
      </c>
      <c r="DN18" s="5">
        <f t="shared" si="4"/>
        <v>0</v>
      </c>
      <c r="DO18" s="5">
        <f t="shared" si="4"/>
        <v>0</v>
      </c>
      <c r="DP18" s="5">
        <f t="shared" si="4"/>
        <v>0</v>
      </c>
      <c r="DQ18" s="5">
        <f t="shared" si="4"/>
        <v>0</v>
      </c>
      <c r="DR18" s="5">
        <f t="shared" si="4"/>
        <v>0</v>
      </c>
      <c r="DS18" s="5">
        <f t="shared" si="4"/>
        <v>0</v>
      </c>
      <c r="DT18" s="5">
        <f t="shared" si="4"/>
        <v>0</v>
      </c>
      <c r="DU18" s="5">
        <f t="shared" si="4"/>
        <v>0</v>
      </c>
      <c r="DV18" s="5">
        <f t="shared" si="4"/>
        <v>0</v>
      </c>
      <c r="DW18" s="5">
        <f t="shared" si="4"/>
        <v>0</v>
      </c>
      <c r="DX18" s="5">
        <f t="shared" si="4"/>
        <v>0</v>
      </c>
      <c r="DY18" s="5">
        <f t="shared" si="4"/>
        <v>0</v>
      </c>
      <c r="DZ18" s="5">
        <f t="shared" si="4"/>
        <v>0</v>
      </c>
      <c r="EA18" s="5">
        <f t="shared" si="4"/>
        <v>0</v>
      </c>
      <c r="EB18" s="5">
        <f t="shared" si="4"/>
        <v>0</v>
      </c>
      <c r="EC18" s="5">
        <f t="shared" si="4"/>
        <v>0</v>
      </c>
      <c r="ED18" s="5">
        <f t="shared" si="4"/>
        <v>0</v>
      </c>
      <c r="EE18" s="5">
        <f t="shared" si="4"/>
        <v>0</v>
      </c>
      <c r="EF18" s="5">
        <f t="shared" si="4"/>
        <v>0</v>
      </c>
      <c r="EG18" s="5">
        <f t="shared" si="4"/>
        <v>0</v>
      </c>
      <c r="EH18" s="5">
        <f t="shared" si="4"/>
        <v>0</v>
      </c>
      <c r="EI18" s="5">
        <f t="shared" si="4"/>
        <v>0</v>
      </c>
      <c r="EJ18" s="5">
        <f t="shared" si="4"/>
        <v>0</v>
      </c>
      <c r="EK18" s="5">
        <f t="shared" si="4"/>
        <v>0</v>
      </c>
      <c r="EL18" s="5">
        <f t="shared" si="4"/>
        <v>0</v>
      </c>
      <c r="EM18" s="5">
        <f t="shared" ref="EM18:FR18" si="5">EM237</f>
        <v>0</v>
      </c>
      <c r="EN18" s="5">
        <f t="shared" si="5"/>
        <v>0</v>
      </c>
      <c r="EO18" s="5">
        <f t="shared" si="5"/>
        <v>0</v>
      </c>
      <c r="EP18" s="5">
        <f t="shared" si="5"/>
        <v>0</v>
      </c>
      <c r="EQ18" s="5">
        <f t="shared" si="5"/>
        <v>0</v>
      </c>
      <c r="ER18" s="5">
        <f t="shared" si="5"/>
        <v>0</v>
      </c>
      <c r="ES18" s="5">
        <f t="shared" si="5"/>
        <v>0</v>
      </c>
      <c r="ET18" s="5">
        <f t="shared" si="5"/>
        <v>0</v>
      </c>
      <c r="EU18" s="5">
        <f t="shared" si="5"/>
        <v>0</v>
      </c>
      <c r="EV18" s="5">
        <f t="shared" si="5"/>
        <v>0</v>
      </c>
      <c r="EW18" s="5">
        <f t="shared" si="5"/>
        <v>0</v>
      </c>
      <c r="EX18" s="5">
        <f t="shared" si="5"/>
        <v>0</v>
      </c>
      <c r="EY18" s="5">
        <f t="shared" si="5"/>
        <v>0</v>
      </c>
      <c r="EZ18" s="5">
        <f t="shared" si="5"/>
        <v>0</v>
      </c>
      <c r="FA18" s="5">
        <f t="shared" si="5"/>
        <v>0</v>
      </c>
      <c r="FB18" s="5">
        <f t="shared" si="5"/>
        <v>0</v>
      </c>
      <c r="FC18" s="5">
        <f t="shared" si="5"/>
        <v>0</v>
      </c>
      <c r="FD18" s="5">
        <f t="shared" si="5"/>
        <v>0</v>
      </c>
      <c r="FE18" s="5">
        <f t="shared" si="5"/>
        <v>0</v>
      </c>
      <c r="FF18" s="5">
        <f t="shared" si="5"/>
        <v>0</v>
      </c>
      <c r="FG18" s="5">
        <f t="shared" si="5"/>
        <v>0</v>
      </c>
      <c r="FH18" s="5">
        <f t="shared" si="5"/>
        <v>0</v>
      </c>
      <c r="FI18" s="5">
        <f t="shared" si="5"/>
        <v>0</v>
      </c>
      <c r="FJ18" s="5">
        <f t="shared" si="5"/>
        <v>0</v>
      </c>
      <c r="FK18" s="5">
        <f t="shared" si="5"/>
        <v>0</v>
      </c>
      <c r="FL18" s="5">
        <f t="shared" si="5"/>
        <v>0</v>
      </c>
      <c r="FM18" s="5">
        <f t="shared" si="5"/>
        <v>0</v>
      </c>
      <c r="FN18" s="5">
        <f t="shared" si="5"/>
        <v>0</v>
      </c>
      <c r="FO18" s="5">
        <f t="shared" si="5"/>
        <v>0</v>
      </c>
      <c r="FP18" s="5">
        <f t="shared" si="5"/>
        <v>0</v>
      </c>
      <c r="FQ18" s="5">
        <f t="shared" si="5"/>
        <v>0</v>
      </c>
      <c r="FR18" s="5">
        <f t="shared" si="5"/>
        <v>0</v>
      </c>
      <c r="FS18" s="5">
        <f t="shared" ref="FS18:GX18" si="6">FS237</f>
        <v>0</v>
      </c>
      <c r="FT18" s="5">
        <f t="shared" si="6"/>
        <v>0</v>
      </c>
      <c r="FU18" s="5">
        <f t="shared" si="6"/>
        <v>0</v>
      </c>
      <c r="FV18" s="5">
        <f t="shared" si="6"/>
        <v>0</v>
      </c>
      <c r="FW18" s="5">
        <f t="shared" si="6"/>
        <v>0</v>
      </c>
      <c r="FX18" s="5">
        <f t="shared" si="6"/>
        <v>0</v>
      </c>
      <c r="FY18" s="5">
        <f t="shared" si="6"/>
        <v>0</v>
      </c>
      <c r="FZ18" s="5">
        <f t="shared" si="6"/>
        <v>0</v>
      </c>
      <c r="GA18" s="5">
        <f t="shared" si="6"/>
        <v>0</v>
      </c>
      <c r="GB18" s="5">
        <f t="shared" si="6"/>
        <v>0</v>
      </c>
      <c r="GC18" s="5">
        <f t="shared" si="6"/>
        <v>0</v>
      </c>
      <c r="GD18" s="5">
        <f t="shared" si="6"/>
        <v>0</v>
      </c>
      <c r="GE18" s="5">
        <f t="shared" si="6"/>
        <v>0</v>
      </c>
      <c r="GF18" s="5">
        <f t="shared" si="6"/>
        <v>0</v>
      </c>
      <c r="GG18" s="5">
        <f t="shared" si="6"/>
        <v>0</v>
      </c>
      <c r="GH18" s="5">
        <f t="shared" si="6"/>
        <v>0</v>
      </c>
      <c r="GI18" s="5">
        <f t="shared" si="6"/>
        <v>0</v>
      </c>
      <c r="GJ18" s="5">
        <f t="shared" si="6"/>
        <v>0</v>
      </c>
      <c r="GK18" s="5">
        <f t="shared" si="6"/>
        <v>0</v>
      </c>
      <c r="GL18" s="5">
        <f t="shared" si="6"/>
        <v>0</v>
      </c>
      <c r="GM18" s="5">
        <f t="shared" si="6"/>
        <v>0</v>
      </c>
      <c r="GN18" s="5">
        <f t="shared" si="6"/>
        <v>0</v>
      </c>
      <c r="GO18" s="5">
        <f t="shared" si="6"/>
        <v>0</v>
      </c>
      <c r="GP18" s="5">
        <f t="shared" si="6"/>
        <v>0</v>
      </c>
      <c r="GQ18" s="5">
        <f t="shared" si="6"/>
        <v>0</v>
      </c>
      <c r="GR18" s="5">
        <f t="shared" si="6"/>
        <v>0</v>
      </c>
      <c r="GS18" s="5">
        <f t="shared" si="6"/>
        <v>0</v>
      </c>
      <c r="GT18" s="5">
        <f t="shared" si="6"/>
        <v>0</v>
      </c>
      <c r="GU18" s="5">
        <f t="shared" si="6"/>
        <v>0</v>
      </c>
      <c r="GV18" s="5">
        <f t="shared" si="6"/>
        <v>0</v>
      </c>
      <c r="GW18" s="5">
        <f t="shared" si="6"/>
        <v>0</v>
      </c>
      <c r="GX18" s="5">
        <f t="shared" si="6"/>
        <v>0</v>
      </c>
    </row>
    <row r="20" spans="1:245" x14ac:dyDescent="0.25">
      <c r="A20" s="1">
        <v>3</v>
      </c>
      <c r="B20" s="1">
        <v>1</v>
      </c>
      <c r="C20" s="1"/>
      <c r="D20" s="1">
        <f>ROW(A207)</f>
        <v>207</v>
      </c>
      <c r="E20" s="1"/>
      <c r="F20" s="1" t="s">
        <v>332</v>
      </c>
      <c r="G20" s="1" t="s">
        <v>720</v>
      </c>
      <c r="H20" s="1" t="s">
        <v>332</v>
      </c>
      <c r="I20" s="1">
        <v>0</v>
      </c>
      <c r="J20" s="1" t="s">
        <v>332</v>
      </c>
      <c r="K20" s="1">
        <v>0</v>
      </c>
      <c r="L20" s="1" t="s">
        <v>332</v>
      </c>
      <c r="M20" s="1" t="s">
        <v>332</v>
      </c>
      <c r="N20" s="1"/>
      <c r="O20" s="1"/>
      <c r="P20" s="1"/>
      <c r="Q20" s="1"/>
      <c r="R20" s="1"/>
      <c r="S20" s="1">
        <v>0</v>
      </c>
      <c r="T20" s="1"/>
      <c r="U20" s="1" t="s">
        <v>332</v>
      </c>
      <c r="V20" s="1">
        <v>0</v>
      </c>
      <c r="W20" s="1"/>
      <c r="X20" s="1"/>
      <c r="Y20" s="1"/>
      <c r="Z20" s="1"/>
      <c r="AA20" s="1"/>
      <c r="AB20" s="1" t="s">
        <v>332</v>
      </c>
      <c r="AC20" s="1" t="s">
        <v>332</v>
      </c>
      <c r="AD20" s="1" t="s">
        <v>332</v>
      </c>
      <c r="AE20" s="1" t="s">
        <v>332</v>
      </c>
      <c r="AF20" s="1" t="s">
        <v>332</v>
      </c>
      <c r="AG20" s="1" t="s">
        <v>332</v>
      </c>
      <c r="AH20" s="1"/>
      <c r="AI20" s="1"/>
      <c r="AJ20" s="1"/>
      <c r="AK20" s="1"/>
      <c r="AL20" s="1"/>
      <c r="AM20" s="1"/>
      <c r="AN20" s="1"/>
      <c r="AO20" s="1"/>
      <c r="AP20" s="1" t="s">
        <v>332</v>
      </c>
      <c r="AQ20" s="1" t="s">
        <v>332</v>
      </c>
      <c r="AR20" s="1" t="s">
        <v>332</v>
      </c>
      <c r="AS20" s="1"/>
      <c r="AT20" s="1"/>
      <c r="AU20" s="1"/>
      <c r="AV20" s="1"/>
      <c r="AW20" s="1"/>
      <c r="AX20" s="1"/>
      <c r="AY20" s="1"/>
      <c r="AZ20" s="1" t="s">
        <v>332</v>
      </c>
      <c r="BA20" s="1"/>
      <c r="BB20" s="1" t="s">
        <v>332</v>
      </c>
      <c r="BC20" s="1" t="s">
        <v>332</v>
      </c>
      <c r="BD20" s="1" t="s">
        <v>332</v>
      </c>
      <c r="BE20" s="1" t="s">
        <v>332</v>
      </c>
      <c r="BF20" s="1" t="s">
        <v>332</v>
      </c>
      <c r="BG20" s="1" t="s">
        <v>332</v>
      </c>
      <c r="BH20" s="1" t="s">
        <v>332</v>
      </c>
      <c r="BI20" s="1" t="s">
        <v>332</v>
      </c>
      <c r="BJ20" s="1" t="s">
        <v>332</v>
      </c>
      <c r="BK20" s="1" t="s">
        <v>332</v>
      </c>
      <c r="BL20" s="1" t="s">
        <v>332</v>
      </c>
      <c r="BM20" s="1" t="s">
        <v>332</v>
      </c>
      <c r="BN20" s="1" t="s">
        <v>332</v>
      </c>
      <c r="BO20" s="1" t="s">
        <v>332</v>
      </c>
      <c r="BP20" s="1" t="s">
        <v>332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332</v>
      </c>
      <c r="CJ20" s="1" t="s">
        <v>332</v>
      </c>
      <c r="CK20" t="s">
        <v>332</v>
      </c>
      <c r="CL20" t="s">
        <v>332</v>
      </c>
      <c r="CM20" t="s">
        <v>332</v>
      </c>
      <c r="CN20" t="s">
        <v>332</v>
      </c>
      <c r="CO20" t="s">
        <v>332</v>
      </c>
      <c r="CP20" t="s">
        <v>332</v>
      </c>
      <c r="CQ20" t="s">
        <v>332</v>
      </c>
    </row>
    <row r="22" spans="1:245" x14ac:dyDescent="0.25">
      <c r="A22" s="7">
        <v>52</v>
      </c>
      <c r="B22" s="7">
        <f t="shared" ref="B22:G22" si="7">B207</f>
        <v>1</v>
      </c>
      <c r="C22" s="7">
        <f t="shared" si="7"/>
        <v>3</v>
      </c>
      <c r="D22" s="7">
        <f t="shared" si="7"/>
        <v>20</v>
      </c>
      <c r="E22" s="7">
        <f t="shared" si="7"/>
        <v>0</v>
      </c>
      <c r="F22" s="7" t="str">
        <f t="shared" si="7"/>
        <v/>
      </c>
      <c r="G22" s="7" t="str">
        <f t="shared" si="7"/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H22" s="7"/>
      <c r="I22" s="7"/>
      <c r="J22" s="7"/>
      <c r="K22" s="7"/>
      <c r="L22" s="7"/>
      <c r="M22" s="7"/>
      <c r="N22" s="7"/>
      <c r="O22" s="7">
        <f t="shared" ref="O22:AT22" si="8">O207</f>
        <v>74299.33</v>
      </c>
      <c r="P22" s="7">
        <f t="shared" si="8"/>
        <v>48161</v>
      </c>
      <c r="Q22" s="7">
        <f t="shared" si="8"/>
        <v>174.26</v>
      </c>
      <c r="R22" s="7">
        <f t="shared" si="8"/>
        <v>146.59</v>
      </c>
      <c r="S22" s="7">
        <f t="shared" si="8"/>
        <v>25817.48</v>
      </c>
      <c r="T22" s="7">
        <f t="shared" si="8"/>
        <v>0</v>
      </c>
      <c r="U22" s="7">
        <f t="shared" si="8"/>
        <v>37.318728100000001</v>
      </c>
      <c r="V22" s="7">
        <f t="shared" si="8"/>
        <v>0.20461720000000003</v>
      </c>
      <c r="W22" s="7">
        <f t="shared" si="8"/>
        <v>0</v>
      </c>
      <c r="X22" s="7">
        <f t="shared" si="8"/>
        <v>26064.2</v>
      </c>
      <c r="Y22" s="7">
        <f t="shared" si="8"/>
        <v>13068.83</v>
      </c>
      <c r="Z22" s="7">
        <f t="shared" si="8"/>
        <v>0</v>
      </c>
      <c r="AA22" s="7">
        <f t="shared" si="8"/>
        <v>0</v>
      </c>
      <c r="AB22" s="7">
        <f t="shared" si="8"/>
        <v>0</v>
      </c>
      <c r="AC22" s="7">
        <f t="shared" si="8"/>
        <v>0</v>
      </c>
      <c r="AD22" s="7">
        <f t="shared" si="8"/>
        <v>0</v>
      </c>
      <c r="AE22" s="7">
        <f t="shared" si="8"/>
        <v>0</v>
      </c>
      <c r="AF22" s="7">
        <f t="shared" si="8"/>
        <v>0</v>
      </c>
      <c r="AG22" s="7">
        <f t="shared" si="8"/>
        <v>0</v>
      </c>
      <c r="AH22" s="7">
        <f t="shared" si="8"/>
        <v>0</v>
      </c>
      <c r="AI22" s="7">
        <f t="shared" si="8"/>
        <v>0</v>
      </c>
      <c r="AJ22" s="7">
        <f t="shared" si="8"/>
        <v>0</v>
      </c>
      <c r="AK22" s="7">
        <f t="shared" si="8"/>
        <v>0</v>
      </c>
      <c r="AL22" s="7">
        <f t="shared" si="8"/>
        <v>0</v>
      </c>
      <c r="AM22" s="7">
        <f t="shared" si="8"/>
        <v>0</v>
      </c>
      <c r="AN22" s="7">
        <f t="shared" si="8"/>
        <v>0</v>
      </c>
      <c r="AO22" s="7">
        <f t="shared" si="8"/>
        <v>0</v>
      </c>
      <c r="AP22" s="7">
        <f t="shared" si="8"/>
        <v>0</v>
      </c>
      <c r="AQ22" s="7">
        <f t="shared" si="8"/>
        <v>0</v>
      </c>
      <c r="AR22" s="7">
        <f t="shared" si="8"/>
        <v>113692.82</v>
      </c>
      <c r="AS22" s="7">
        <f t="shared" si="8"/>
        <v>113692.82</v>
      </c>
      <c r="AT22" s="7">
        <f t="shared" si="8"/>
        <v>0</v>
      </c>
      <c r="AU22" s="7">
        <f t="shared" ref="AU22:BZ22" si="9">AU207</f>
        <v>0</v>
      </c>
      <c r="AV22" s="7">
        <f t="shared" si="9"/>
        <v>48161</v>
      </c>
      <c r="AW22" s="7">
        <f t="shared" si="9"/>
        <v>48161</v>
      </c>
      <c r="AX22" s="7">
        <f t="shared" si="9"/>
        <v>0</v>
      </c>
      <c r="AY22" s="7">
        <f t="shared" si="9"/>
        <v>48161</v>
      </c>
      <c r="AZ22" s="7">
        <f t="shared" si="9"/>
        <v>0</v>
      </c>
      <c r="BA22" s="7">
        <f t="shared" si="9"/>
        <v>0</v>
      </c>
      <c r="BB22" s="7">
        <f t="shared" si="9"/>
        <v>0</v>
      </c>
      <c r="BC22" s="7">
        <f t="shared" si="9"/>
        <v>0</v>
      </c>
      <c r="BD22" s="7">
        <f t="shared" si="9"/>
        <v>260.45999999999998</v>
      </c>
      <c r="BE22" s="7">
        <f t="shared" si="9"/>
        <v>0</v>
      </c>
      <c r="BF22" s="7">
        <f t="shared" si="9"/>
        <v>0</v>
      </c>
      <c r="BG22" s="7">
        <f t="shared" si="9"/>
        <v>0</v>
      </c>
      <c r="BH22" s="7">
        <f t="shared" si="9"/>
        <v>0</v>
      </c>
      <c r="BI22" s="7">
        <f t="shared" si="9"/>
        <v>0</v>
      </c>
      <c r="BJ22" s="7">
        <f t="shared" si="9"/>
        <v>0</v>
      </c>
      <c r="BK22" s="7">
        <f t="shared" si="9"/>
        <v>0</v>
      </c>
      <c r="BL22" s="7">
        <f t="shared" si="9"/>
        <v>0</v>
      </c>
      <c r="BM22" s="7">
        <f t="shared" si="9"/>
        <v>0</v>
      </c>
      <c r="BN22" s="7">
        <f t="shared" si="9"/>
        <v>0</v>
      </c>
      <c r="BO22" s="7">
        <f t="shared" si="9"/>
        <v>0</v>
      </c>
      <c r="BP22" s="7">
        <f t="shared" si="9"/>
        <v>0</v>
      </c>
      <c r="BQ22" s="7">
        <f t="shared" si="9"/>
        <v>0</v>
      </c>
      <c r="BR22" s="7">
        <f t="shared" si="9"/>
        <v>0</v>
      </c>
      <c r="BS22" s="7">
        <f t="shared" si="9"/>
        <v>0</v>
      </c>
      <c r="BT22" s="7">
        <f t="shared" si="9"/>
        <v>0</v>
      </c>
      <c r="BU22" s="7">
        <f t="shared" si="9"/>
        <v>0</v>
      </c>
      <c r="BV22" s="7">
        <f t="shared" si="9"/>
        <v>0</v>
      </c>
      <c r="BW22" s="7">
        <f t="shared" si="9"/>
        <v>0</v>
      </c>
      <c r="BX22" s="7">
        <f t="shared" si="9"/>
        <v>0</v>
      </c>
      <c r="BY22" s="7">
        <f t="shared" si="9"/>
        <v>0</v>
      </c>
      <c r="BZ22" s="7">
        <f t="shared" si="9"/>
        <v>0</v>
      </c>
      <c r="CA22" s="7">
        <f t="shared" ref="CA22:DF22" si="10">CA207</f>
        <v>0</v>
      </c>
      <c r="CB22" s="7">
        <f t="shared" si="10"/>
        <v>0</v>
      </c>
      <c r="CC22" s="7">
        <f t="shared" si="10"/>
        <v>0</v>
      </c>
      <c r="CD22" s="7">
        <f t="shared" si="10"/>
        <v>0</v>
      </c>
      <c r="CE22" s="7">
        <f t="shared" si="10"/>
        <v>0</v>
      </c>
      <c r="CF22" s="7">
        <f t="shared" si="10"/>
        <v>0</v>
      </c>
      <c r="CG22" s="7">
        <f t="shared" si="10"/>
        <v>0</v>
      </c>
      <c r="CH22" s="7">
        <f t="shared" si="10"/>
        <v>0</v>
      </c>
      <c r="CI22" s="7">
        <f t="shared" si="10"/>
        <v>0</v>
      </c>
      <c r="CJ22" s="7">
        <f t="shared" si="10"/>
        <v>0</v>
      </c>
      <c r="CK22" s="7">
        <f t="shared" si="10"/>
        <v>0</v>
      </c>
      <c r="CL22" s="7">
        <f t="shared" si="10"/>
        <v>0</v>
      </c>
      <c r="CM22" s="7">
        <f t="shared" si="10"/>
        <v>0</v>
      </c>
      <c r="CN22" s="7">
        <f t="shared" si="10"/>
        <v>0</v>
      </c>
      <c r="CO22" s="7">
        <f t="shared" si="10"/>
        <v>0</v>
      </c>
      <c r="CP22" s="7">
        <f t="shared" si="10"/>
        <v>0</v>
      </c>
      <c r="CQ22" s="7">
        <f t="shared" si="10"/>
        <v>0</v>
      </c>
      <c r="CR22" s="7">
        <f t="shared" si="10"/>
        <v>0</v>
      </c>
      <c r="CS22" s="7">
        <f t="shared" si="10"/>
        <v>0</v>
      </c>
      <c r="CT22" s="7">
        <f t="shared" si="10"/>
        <v>0</v>
      </c>
      <c r="CU22" s="7">
        <f t="shared" si="10"/>
        <v>0</v>
      </c>
      <c r="CV22" s="7">
        <f t="shared" si="10"/>
        <v>0</v>
      </c>
      <c r="CW22" s="7">
        <f t="shared" si="10"/>
        <v>0</v>
      </c>
      <c r="CX22" s="7">
        <f t="shared" si="10"/>
        <v>0</v>
      </c>
      <c r="CY22" s="7">
        <f t="shared" si="10"/>
        <v>0</v>
      </c>
      <c r="CZ22" s="7">
        <f t="shared" si="10"/>
        <v>0</v>
      </c>
      <c r="DA22" s="7">
        <f t="shared" si="10"/>
        <v>0</v>
      </c>
      <c r="DB22" s="7">
        <f t="shared" si="10"/>
        <v>0</v>
      </c>
      <c r="DC22" s="7">
        <f t="shared" si="10"/>
        <v>0</v>
      </c>
      <c r="DD22" s="7">
        <f t="shared" si="10"/>
        <v>0</v>
      </c>
      <c r="DE22" s="7">
        <f t="shared" si="10"/>
        <v>0</v>
      </c>
      <c r="DF22" s="7">
        <f t="shared" si="10"/>
        <v>0</v>
      </c>
      <c r="DG22" s="5">
        <f t="shared" ref="DG22:EL22" si="11">DG207</f>
        <v>0</v>
      </c>
      <c r="DH22" s="5">
        <f t="shared" si="11"/>
        <v>0</v>
      </c>
      <c r="DI22" s="5">
        <f t="shared" si="11"/>
        <v>0</v>
      </c>
      <c r="DJ22" s="5">
        <f t="shared" si="11"/>
        <v>0</v>
      </c>
      <c r="DK22" s="5">
        <f t="shared" si="11"/>
        <v>0</v>
      </c>
      <c r="DL22" s="5">
        <f t="shared" si="11"/>
        <v>0</v>
      </c>
      <c r="DM22" s="5">
        <f t="shared" si="11"/>
        <v>0</v>
      </c>
      <c r="DN22" s="5">
        <f t="shared" si="11"/>
        <v>0</v>
      </c>
      <c r="DO22" s="5">
        <f t="shared" si="11"/>
        <v>0</v>
      </c>
      <c r="DP22" s="5">
        <f t="shared" si="11"/>
        <v>0</v>
      </c>
      <c r="DQ22" s="5">
        <f t="shared" si="11"/>
        <v>0</v>
      </c>
      <c r="DR22" s="5">
        <f t="shared" si="11"/>
        <v>0</v>
      </c>
      <c r="DS22" s="5">
        <f t="shared" si="11"/>
        <v>0</v>
      </c>
      <c r="DT22" s="5">
        <f t="shared" si="11"/>
        <v>0</v>
      </c>
      <c r="DU22" s="5">
        <f t="shared" si="11"/>
        <v>0</v>
      </c>
      <c r="DV22" s="5">
        <f t="shared" si="11"/>
        <v>0</v>
      </c>
      <c r="DW22" s="5">
        <f t="shared" si="11"/>
        <v>0</v>
      </c>
      <c r="DX22" s="5">
        <f t="shared" si="11"/>
        <v>0</v>
      </c>
      <c r="DY22" s="5">
        <f t="shared" si="11"/>
        <v>0</v>
      </c>
      <c r="DZ22" s="5">
        <f t="shared" si="11"/>
        <v>0</v>
      </c>
      <c r="EA22" s="5">
        <f t="shared" si="11"/>
        <v>0</v>
      </c>
      <c r="EB22" s="5">
        <f t="shared" si="11"/>
        <v>0</v>
      </c>
      <c r="EC22" s="5">
        <f t="shared" si="11"/>
        <v>0</v>
      </c>
      <c r="ED22" s="5">
        <f t="shared" si="11"/>
        <v>0</v>
      </c>
      <c r="EE22" s="5">
        <f t="shared" si="11"/>
        <v>0</v>
      </c>
      <c r="EF22" s="5">
        <f t="shared" si="11"/>
        <v>0</v>
      </c>
      <c r="EG22" s="5">
        <f t="shared" si="11"/>
        <v>0</v>
      </c>
      <c r="EH22" s="5">
        <f t="shared" si="11"/>
        <v>0</v>
      </c>
      <c r="EI22" s="5">
        <f t="shared" si="11"/>
        <v>0</v>
      </c>
      <c r="EJ22" s="5">
        <f t="shared" si="11"/>
        <v>0</v>
      </c>
      <c r="EK22" s="5">
        <f t="shared" si="11"/>
        <v>0</v>
      </c>
      <c r="EL22" s="5">
        <f t="shared" si="11"/>
        <v>0</v>
      </c>
      <c r="EM22" s="5">
        <f t="shared" ref="EM22:FR22" si="12">EM207</f>
        <v>0</v>
      </c>
      <c r="EN22" s="5">
        <f t="shared" si="12"/>
        <v>0</v>
      </c>
      <c r="EO22" s="5">
        <f t="shared" si="12"/>
        <v>0</v>
      </c>
      <c r="EP22" s="5">
        <f t="shared" si="12"/>
        <v>0</v>
      </c>
      <c r="EQ22" s="5">
        <f t="shared" si="12"/>
        <v>0</v>
      </c>
      <c r="ER22" s="5">
        <f t="shared" si="12"/>
        <v>0</v>
      </c>
      <c r="ES22" s="5">
        <f t="shared" si="12"/>
        <v>0</v>
      </c>
      <c r="ET22" s="5">
        <f t="shared" si="12"/>
        <v>0</v>
      </c>
      <c r="EU22" s="5">
        <f t="shared" si="12"/>
        <v>0</v>
      </c>
      <c r="EV22" s="5">
        <f t="shared" si="12"/>
        <v>0</v>
      </c>
      <c r="EW22" s="5">
        <f t="shared" si="12"/>
        <v>0</v>
      </c>
      <c r="EX22" s="5">
        <f t="shared" si="12"/>
        <v>0</v>
      </c>
      <c r="EY22" s="5">
        <f t="shared" si="12"/>
        <v>0</v>
      </c>
      <c r="EZ22" s="5">
        <f t="shared" si="12"/>
        <v>0</v>
      </c>
      <c r="FA22" s="5">
        <f t="shared" si="12"/>
        <v>0</v>
      </c>
      <c r="FB22" s="5">
        <f t="shared" si="12"/>
        <v>0</v>
      </c>
      <c r="FC22" s="5">
        <f t="shared" si="12"/>
        <v>0</v>
      </c>
      <c r="FD22" s="5">
        <f t="shared" si="12"/>
        <v>0</v>
      </c>
      <c r="FE22" s="5">
        <f t="shared" si="12"/>
        <v>0</v>
      </c>
      <c r="FF22" s="5">
        <f t="shared" si="12"/>
        <v>0</v>
      </c>
      <c r="FG22" s="5">
        <f t="shared" si="12"/>
        <v>0</v>
      </c>
      <c r="FH22" s="5">
        <f t="shared" si="12"/>
        <v>0</v>
      </c>
      <c r="FI22" s="5">
        <f t="shared" si="12"/>
        <v>0</v>
      </c>
      <c r="FJ22" s="5">
        <f t="shared" si="12"/>
        <v>0</v>
      </c>
      <c r="FK22" s="5">
        <f t="shared" si="12"/>
        <v>0</v>
      </c>
      <c r="FL22" s="5">
        <f t="shared" si="12"/>
        <v>0</v>
      </c>
      <c r="FM22" s="5">
        <f t="shared" si="12"/>
        <v>0</v>
      </c>
      <c r="FN22" s="5">
        <f t="shared" si="12"/>
        <v>0</v>
      </c>
      <c r="FO22" s="5">
        <f t="shared" si="12"/>
        <v>0</v>
      </c>
      <c r="FP22" s="5">
        <f t="shared" si="12"/>
        <v>0</v>
      </c>
      <c r="FQ22" s="5">
        <f t="shared" si="12"/>
        <v>0</v>
      </c>
      <c r="FR22" s="5">
        <f t="shared" si="12"/>
        <v>0</v>
      </c>
      <c r="FS22" s="5">
        <f t="shared" ref="FS22:GX22" si="13">FS207</f>
        <v>0</v>
      </c>
      <c r="FT22" s="5">
        <f t="shared" si="13"/>
        <v>0</v>
      </c>
      <c r="FU22" s="5">
        <f t="shared" si="13"/>
        <v>0</v>
      </c>
      <c r="FV22" s="5">
        <f t="shared" si="13"/>
        <v>0</v>
      </c>
      <c r="FW22" s="5">
        <f t="shared" si="13"/>
        <v>0</v>
      </c>
      <c r="FX22" s="5">
        <f t="shared" si="13"/>
        <v>0</v>
      </c>
      <c r="FY22" s="5">
        <f t="shared" si="13"/>
        <v>0</v>
      </c>
      <c r="FZ22" s="5">
        <f t="shared" si="13"/>
        <v>0</v>
      </c>
      <c r="GA22" s="5">
        <f t="shared" si="13"/>
        <v>0</v>
      </c>
      <c r="GB22" s="5">
        <f t="shared" si="13"/>
        <v>0</v>
      </c>
      <c r="GC22" s="5">
        <f t="shared" si="13"/>
        <v>0</v>
      </c>
      <c r="GD22" s="5">
        <f t="shared" si="13"/>
        <v>0</v>
      </c>
      <c r="GE22" s="5">
        <f t="shared" si="13"/>
        <v>0</v>
      </c>
      <c r="GF22" s="5">
        <f t="shared" si="13"/>
        <v>0</v>
      </c>
      <c r="GG22" s="5">
        <f t="shared" si="13"/>
        <v>0</v>
      </c>
      <c r="GH22" s="5">
        <f t="shared" si="13"/>
        <v>0</v>
      </c>
      <c r="GI22" s="5">
        <f t="shared" si="13"/>
        <v>0</v>
      </c>
      <c r="GJ22" s="5">
        <f t="shared" si="13"/>
        <v>0</v>
      </c>
      <c r="GK22" s="5">
        <f t="shared" si="13"/>
        <v>0</v>
      </c>
      <c r="GL22" s="5">
        <f t="shared" si="13"/>
        <v>0</v>
      </c>
      <c r="GM22" s="5">
        <f t="shared" si="13"/>
        <v>0</v>
      </c>
      <c r="GN22" s="5">
        <f t="shared" si="13"/>
        <v>0</v>
      </c>
      <c r="GO22" s="5">
        <f t="shared" si="13"/>
        <v>0</v>
      </c>
      <c r="GP22" s="5">
        <f t="shared" si="13"/>
        <v>0</v>
      </c>
      <c r="GQ22" s="5">
        <f t="shared" si="13"/>
        <v>0</v>
      </c>
      <c r="GR22" s="5">
        <f t="shared" si="13"/>
        <v>0</v>
      </c>
      <c r="GS22" s="5">
        <f t="shared" si="13"/>
        <v>0</v>
      </c>
      <c r="GT22" s="5">
        <f t="shared" si="13"/>
        <v>0</v>
      </c>
      <c r="GU22" s="5">
        <f t="shared" si="13"/>
        <v>0</v>
      </c>
      <c r="GV22" s="5">
        <f t="shared" si="13"/>
        <v>0</v>
      </c>
      <c r="GW22" s="5">
        <f t="shared" si="13"/>
        <v>0</v>
      </c>
      <c r="GX22" s="5">
        <f t="shared" si="13"/>
        <v>0</v>
      </c>
    </row>
    <row r="24" spans="1:245" x14ac:dyDescent="0.25">
      <c r="A24" s="1">
        <v>4</v>
      </c>
      <c r="B24" s="1">
        <v>1</v>
      </c>
      <c r="C24" s="1"/>
      <c r="D24" s="1">
        <f>ROW(A42)</f>
        <v>42</v>
      </c>
      <c r="E24" s="1"/>
      <c r="F24" s="1" t="s">
        <v>343</v>
      </c>
      <c r="G24" s="1" t="s">
        <v>344</v>
      </c>
      <c r="H24" s="1" t="s">
        <v>332</v>
      </c>
      <c r="I24" s="1">
        <v>0</v>
      </c>
      <c r="J24" s="1"/>
      <c r="K24" s="1">
        <v>0</v>
      </c>
      <c r="L24" s="1"/>
      <c r="M24" s="1" t="s">
        <v>332</v>
      </c>
      <c r="N24" s="1"/>
      <c r="O24" s="1"/>
      <c r="P24" s="1"/>
      <c r="Q24" s="1"/>
      <c r="R24" s="1"/>
      <c r="S24" s="1">
        <v>0</v>
      </c>
      <c r="T24" s="1"/>
      <c r="U24" s="1" t="s">
        <v>332</v>
      </c>
      <c r="V24" s="1">
        <v>0</v>
      </c>
      <c r="W24" s="1"/>
      <c r="X24" s="1"/>
      <c r="Y24" s="1"/>
      <c r="Z24" s="1"/>
      <c r="AA24" s="1"/>
      <c r="AB24" s="1" t="s">
        <v>332</v>
      </c>
      <c r="AC24" s="1" t="s">
        <v>332</v>
      </c>
      <c r="AD24" s="1" t="s">
        <v>332</v>
      </c>
      <c r="AE24" s="1" t="s">
        <v>332</v>
      </c>
      <c r="AF24" s="1" t="s">
        <v>332</v>
      </c>
      <c r="AG24" s="1" t="s">
        <v>332</v>
      </c>
      <c r="AH24" s="1"/>
      <c r="AI24" s="1"/>
      <c r="AJ24" s="1"/>
      <c r="AK24" s="1"/>
      <c r="AL24" s="1"/>
      <c r="AM24" s="1"/>
      <c r="AN24" s="1"/>
      <c r="AO24" s="1"/>
      <c r="AP24" s="1" t="s">
        <v>332</v>
      </c>
      <c r="AQ24" s="1" t="s">
        <v>332</v>
      </c>
      <c r="AR24" s="1" t="s">
        <v>332</v>
      </c>
      <c r="AS24" s="1"/>
      <c r="AT24" s="1"/>
      <c r="AU24" s="1"/>
      <c r="AV24" s="1"/>
      <c r="AW24" s="1"/>
      <c r="AX24" s="1"/>
      <c r="AY24" s="1"/>
      <c r="AZ24" s="1" t="s">
        <v>332</v>
      </c>
      <c r="BA24" s="1"/>
      <c r="BB24" s="1" t="s">
        <v>332</v>
      </c>
      <c r="BC24" s="1" t="s">
        <v>332</v>
      </c>
      <c r="BD24" s="1" t="s">
        <v>332</v>
      </c>
      <c r="BE24" s="1" t="s">
        <v>332</v>
      </c>
      <c r="BF24" s="1" t="s">
        <v>332</v>
      </c>
      <c r="BG24" s="1" t="s">
        <v>332</v>
      </c>
      <c r="BH24" s="1" t="s">
        <v>332</v>
      </c>
      <c r="BI24" s="1" t="s">
        <v>332</v>
      </c>
      <c r="BJ24" s="1" t="s">
        <v>332</v>
      </c>
      <c r="BK24" s="1" t="s">
        <v>332</v>
      </c>
      <c r="BL24" s="1" t="s">
        <v>332</v>
      </c>
      <c r="BM24" s="1" t="s">
        <v>332</v>
      </c>
      <c r="BN24" s="1" t="s">
        <v>332</v>
      </c>
      <c r="BO24" s="1" t="s">
        <v>332</v>
      </c>
      <c r="BP24" s="1" t="s">
        <v>332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5">
      <c r="A26" s="7">
        <v>52</v>
      </c>
      <c r="B26" s="7">
        <f t="shared" ref="B26:G26" si="14">B42</f>
        <v>1</v>
      </c>
      <c r="C26" s="7">
        <f t="shared" si="14"/>
        <v>4</v>
      </c>
      <c r="D26" s="7">
        <f t="shared" si="14"/>
        <v>24</v>
      </c>
      <c r="E26" s="7">
        <f t="shared" si="14"/>
        <v>0</v>
      </c>
      <c r="F26" s="7" t="str">
        <f t="shared" si="14"/>
        <v>Новый раздел</v>
      </c>
      <c r="G26" s="7" t="str">
        <f t="shared" si="14"/>
        <v>Работа 1</v>
      </c>
      <c r="H26" s="7"/>
      <c r="I26" s="7"/>
      <c r="J26" s="7"/>
      <c r="K26" s="7"/>
      <c r="L26" s="7"/>
      <c r="M26" s="7"/>
      <c r="N26" s="7"/>
      <c r="O26" s="7">
        <f t="shared" ref="O26:AT26" si="15">O42</f>
        <v>22169.58</v>
      </c>
      <c r="P26" s="7">
        <f t="shared" si="15"/>
        <v>15873.22</v>
      </c>
      <c r="Q26" s="7">
        <f t="shared" si="15"/>
        <v>57.17</v>
      </c>
      <c r="R26" s="7">
        <f t="shared" si="15"/>
        <v>47.53</v>
      </c>
      <c r="S26" s="7">
        <f t="shared" si="15"/>
        <v>6191.66</v>
      </c>
      <c r="T26" s="7">
        <f t="shared" si="15"/>
        <v>0</v>
      </c>
      <c r="U26" s="7">
        <f t="shared" si="15"/>
        <v>8.8695018000000001</v>
      </c>
      <c r="V26" s="7">
        <f t="shared" si="15"/>
        <v>6.6649100000000003E-2</v>
      </c>
      <c r="W26" s="7">
        <f t="shared" si="15"/>
        <v>0</v>
      </c>
      <c r="X26" s="7">
        <f t="shared" si="15"/>
        <v>6210.53</v>
      </c>
      <c r="Y26" s="7">
        <f t="shared" si="15"/>
        <v>3129.18</v>
      </c>
      <c r="Z26" s="7">
        <f t="shared" si="15"/>
        <v>0</v>
      </c>
      <c r="AA26" s="7">
        <f t="shared" si="15"/>
        <v>0</v>
      </c>
      <c r="AB26" s="7">
        <f t="shared" si="15"/>
        <v>22169.58</v>
      </c>
      <c r="AC26" s="7">
        <f t="shared" si="15"/>
        <v>15873.22</v>
      </c>
      <c r="AD26" s="7">
        <f t="shared" si="15"/>
        <v>57.17</v>
      </c>
      <c r="AE26" s="7">
        <f t="shared" si="15"/>
        <v>47.53</v>
      </c>
      <c r="AF26" s="7">
        <f t="shared" si="15"/>
        <v>6191.66</v>
      </c>
      <c r="AG26" s="7">
        <f t="shared" si="15"/>
        <v>0</v>
      </c>
      <c r="AH26" s="7">
        <f t="shared" si="15"/>
        <v>8.8695018000000001</v>
      </c>
      <c r="AI26" s="7">
        <f t="shared" si="15"/>
        <v>6.6649100000000003E-2</v>
      </c>
      <c r="AJ26" s="7">
        <f t="shared" si="15"/>
        <v>0</v>
      </c>
      <c r="AK26" s="7">
        <f t="shared" si="15"/>
        <v>6210.53</v>
      </c>
      <c r="AL26" s="7">
        <f t="shared" si="15"/>
        <v>3129.18</v>
      </c>
      <c r="AM26" s="7">
        <f t="shared" si="15"/>
        <v>0</v>
      </c>
      <c r="AN26" s="7">
        <f t="shared" si="15"/>
        <v>0</v>
      </c>
      <c r="AO26" s="7">
        <f t="shared" si="15"/>
        <v>0</v>
      </c>
      <c r="AP26" s="7">
        <f t="shared" si="15"/>
        <v>0</v>
      </c>
      <c r="AQ26" s="7">
        <f t="shared" si="15"/>
        <v>0</v>
      </c>
      <c r="AR26" s="7">
        <f t="shared" si="15"/>
        <v>31509.29</v>
      </c>
      <c r="AS26" s="7">
        <f t="shared" si="15"/>
        <v>31509.29</v>
      </c>
      <c r="AT26" s="7">
        <f t="shared" si="15"/>
        <v>0</v>
      </c>
      <c r="AU26" s="7">
        <f t="shared" ref="AU26:BZ26" si="16">AU42</f>
        <v>0</v>
      </c>
      <c r="AV26" s="7">
        <f t="shared" si="16"/>
        <v>15873.22</v>
      </c>
      <c r="AW26" s="7">
        <f t="shared" si="16"/>
        <v>15873.22</v>
      </c>
      <c r="AX26" s="7">
        <f t="shared" si="16"/>
        <v>0</v>
      </c>
      <c r="AY26" s="7">
        <f t="shared" si="16"/>
        <v>15873.22</v>
      </c>
      <c r="AZ26" s="7">
        <f t="shared" si="16"/>
        <v>0</v>
      </c>
      <c r="BA26" s="7">
        <f t="shared" si="16"/>
        <v>0</v>
      </c>
      <c r="BB26" s="7">
        <f t="shared" si="16"/>
        <v>0</v>
      </c>
      <c r="BC26" s="7">
        <f t="shared" si="16"/>
        <v>0</v>
      </c>
      <c r="BD26" s="7">
        <f t="shared" si="16"/>
        <v>0</v>
      </c>
      <c r="BE26" s="7">
        <f t="shared" si="16"/>
        <v>0</v>
      </c>
      <c r="BF26" s="7">
        <f t="shared" si="16"/>
        <v>0</v>
      </c>
      <c r="BG26" s="7">
        <f t="shared" si="16"/>
        <v>0</v>
      </c>
      <c r="BH26" s="7">
        <f t="shared" si="16"/>
        <v>0</v>
      </c>
      <c r="BI26" s="7">
        <f t="shared" si="16"/>
        <v>0</v>
      </c>
      <c r="BJ26" s="7">
        <f t="shared" si="16"/>
        <v>0</v>
      </c>
      <c r="BK26" s="7">
        <f t="shared" si="16"/>
        <v>0</v>
      </c>
      <c r="BL26" s="7">
        <f t="shared" si="16"/>
        <v>0</v>
      </c>
      <c r="BM26" s="7">
        <f t="shared" si="16"/>
        <v>0</v>
      </c>
      <c r="BN26" s="7">
        <f t="shared" si="16"/>
        <v>0</v>
      </c>
      <c r="BO26" s="7">
        <f t="shared" si="16"/>
        <v>0</v>
      </c>
      <c r="BP26" s="7">
        <f t="shared" si="16"/>
        <v>0</v>
      </c>
      <c r="BQ26" s="7">
        <f t="shared" si="16"/>
        <v>0</v>
      </c>
      <c r="BR26" s="7">
        <f t="shared" si="16"/>
        <v>0</v>
      </c>
      <c r="BS26" s="7">
        <f t="shared" si="16"/>
        <v>0</v>
      </c>
      <c r="BT26" s="7">
        <f t="shared" si="16"/>
        <v>0</v>
      </c>
      <c r="BU26" s="7">
        <f t="shared" si="16"/>
        <v>0</v>
      </c>
      <c r="BV26" s="7">
        <f t="shared" si="16"/>
        <v>0</v>
      </c>
      <c r="BW26" s="7">
        <f t="shared" si="16"/>
        <v>0</v>
      </c>
      <c r="BX26" s="7">
        <f t="shared" si="16"/>
        <v>0</v>
      </c>
      <c r="BY26" s="7">
        <f t="shared" si="16"/>
        <v>0</v>
      </c>
      <c r="BZ26" s="7">
        <f t="shared" si="16"/>
        <v>0</v>
      </c>
      <c r="CA26" s="7">
        <f t="shared" ref="CA26:DF26" si="17">CA42</f>
        <v>31509.29</v>
      </c>
      <c r="CB26" s="7">
        <f t="shared" si="17"/>
        <v>31509.29</v>
      </c>
      <c r="CC26" s="7">
        <f t="shared" si="17"/>
        <v>0</v>
      </c>
      <c r="CD26" s="7">
        <f t="shared" si="17"/>
        <v>0</v>
      </c>
      <c r="CE26" s="7">
        <f t="shared" si="17"/>
        <v>15873.22</v>
      </c>
      <c r="CF26" s="7">
        <f t="shared" si="17"/>
        <v>15873.22</v>
      </c>
      <c r="CG26" s="7">
        <f t="shared" si="17"/>
        <v>0</v>
      </c>
      <c r="CH26" s="7">
        <f t="shared" si="17"/>
        <v>15873.22</v>
      </c>
      <c r="CI26" s="7">
        <f t="shared" si="17"/>
        <v>0</v>
      </c>
      <c r="CJ26" s="7">
        <f t="shared" si="17"/>
        <v>0</v>
      </c>
      <c r="CK26" s="7">
        <f t="shared" si="17"/>
        <v>0</v>
      </c>
      <c r="CL26" s="7">
        <f t="shared" si="17"/>
        <v>0</v>
      </c>
      <c r="CM26" s="7">
        <f t="shared" si="17"/>
        <v>0</v>
      </c>
      <c r="CN26" s="7">
        <f t="shared" si="17"/>
        <v>0</v>
      </c>
      <c r="CO26" s="7">
        <f t="shared" si="17"/>
        <v>0</v>
      </c>
      <c r="CP26" s="7">
        <f t="shared" si="17"/>
        <v>0</v>
      </c>
      <c r="CQ26" s="7">
        <f t="shared" si="17"/>
        <v>0</v>
      </c>
      <c r="CR26" s="7">
        <f t="shared" si="17"/>
        <v>0</v>
      </c>
      <c r="CS26" s="7">
        <f t="shared" si="17"/>
        <v>0</v>
      </c>
      <c r="CT26" s="7">
        <f t="shared" si="17"/>
        <v>0</v>
      </c>
      <c r="CU26" s="7">
        <f t="shared" si="17"/>
        <v>0</v>
      </c>
      <c r="CV26" s="7">
        <f t="shared" si="17"/>
        <v>0</v>
      </c>
      <c r="CW26" s="7">
        <f t="shared" si="17"/>
        <v>0</v>
      </c>
      <c r="CX26" s="7">
        <f t="shared" si="17"/>
        <v>0</v>
      </c>
      <c r="CY26" s="7">
        <f t="shared" si="17"/>
        <v>0</v>
      </c>
      <c r="CZ26" s="7">
        <f t="shared" si="17"/>
        <v>0</v>
      </c>
      <c r="DA26" s="7">
        <f t="shared" si="17"/>
        <v>0</v>
      </c>
      <c r="DB26" s="7">
        <f t="shared" si="17"/>
        <v>0</v>
      </c>
      <c r="DC26" s="7">
        <f t="shared" si="17"/>
        <v>0</v>
      </c>
      <c r="DD26" s="7">
        <f t="shared" si="17"/>
        <v>0</v>
      </c>
      <c r="DE26" s="7">
        <f t="shared" si="17"/>
        <v>0</v>
      </c>
      <c r="DF26" s="7">
        <f t="shared" si="17"/>
        <v>0</v>
      </c>
      <c r="DG26" s="5">
        <f t="shared" ref="DG26:EL26" si="18">DG42</f>
        <v>0</v>
      </c>
      <c r="DH26" s="5">
        <f t="shared" si="18"/>
        <v>0</v>
      </c>
      <c r="DI26" s="5">
        <f t="shared" si="18"/>
        <v>0</v>
      </c>
      <c r="DJ26" s="5">
        <f t="shared" si="18"/>
        <v>0</v>
      </c>
      <c r="DK26" s="5">
        <f t="shared" si="18"/>
        <v>0</v>
      </c>
      <c r="DL26" s="5">
        <f t="shared" si="18"/>
        <v>0</v>
      </c>
      <c r="DM26" s="5">
        <f t="shared" si="18"/>
        <v>0</v>
      </c>
      <c r="DN26" s="5">
        <f t="shared" si="18"/>
        <v>0</v>
      </c>
      <c r="DO26" s="5">
        <f t="shared" si="18"/>
        <v>0</v>
      </c>
      <c r="DP26" s="5">
        <f t="shared" si="18"/>
        <v>0</v>
      </c>
      <c r="DQ26" s="5">
        <f t="shared" si="18"/>
        <v>0</v>
      </c>
      <c r="DR26" s="5">
        <f t="shared" si="18"/>
        <v>0</v>
      </c>
      <c r="DS26" s="5">
        <f t="shared" si="18"/>
        <v>0</v>
      </c>
      <c r="DT26" s="5">
        <f t="shared" si="18"/>
        <v>0</v>
      </c>
      <c r="DU26" s="5">
        <f t="shared" si="18"/>
        <v>0</v>
      </c>
      <c r="DV26" s="5">
        <f t="shared" si="18"/>
        <v>0</v>
      </c>
      <c r="DW26" s="5">
        <f t="shared" si="18"/>
        <v>0</v>
      </c>
      <c r="DX26" s="5">
        <f t="shared" si="18"/>
        <v>0</v>
      </c>
      <c r="DY26" s="5">
        <f t="shared" si="18"/>
        <v>0</v>
      </c>
      <c r="DZ26" s="5">
        <f t="shared" si="18"/>
        <v>0</v>
      </c>
      <c r="EA26" s="5">
        <f t="shared" si="18"/>
        <v>0</v>
      </c>
      <c r="EB26" s="5">
        <f t="shared" si="18"/>
        <v>0</v>
      </c>
      <c r="EC26" s="5">
        <f t="shared" si="18"/>
        <v>0</v>
      </c>
      <c r="ED26" s="5">
        <f t="shared" si="18"/>
        <v>0</v>
      </c>
      <c r="EE26" s="5">
        <f t="shared" si="18"/>
        <v>0</v>
      </c>
      <c r="EF26" s="5">
        <f t="shared" si="18"/>
        <v>0</v>
      </c>
      <c r="EG26" s="5">
        <f t="shared" si="18"/>
        <v>0</v>
      </c>
      <c r="EH26" s="5">
        <f t="shared" si="18"/>
        <v>0</v>
      </c>
      <c r="EI26" s="5">
        <f t="shared" si="18"/>
        <v>0</v>
      </c>
      <c r="EJ26" s="5">
        <f t="shared" si="18"/>
        <v>0</v>
      </c>
      <c r="EK26" s="5">
        <f t="shared" si="18"/>
        <v>0</v>
      </c>
      <c r="EL26" s="5">
        <f t="shared" si="18"/>
        <v>0</v>
      </c>
      <c r="EM26" s="5">
        <f t="shared" ref="EM26:FR26" si="19">EM42</f>
        <v>0</v>
      </c>
      <c r="EN26" s="5">
        <f t="shared" si="19"/>
        <v>0</v>
      </c>
      <c r="EO26" s="5">
        <f t="shared" si="19"/>
        <v>0</v>
      </c>
      <c r="EP26" s="5">
        <f t="shared" si="19"/>
        <v>0</v>
      </c>
      <c r="EQ26" s="5">
        <f t="shared" si="19"/>
        <v>0</v>
      </c>
      <c r="ER26" s="5">
        <f t="shared" si="19"/>
        <v>0</v>
      </c>
      <c r="ES26" s="5">
        <f t="shared" si="19"/>
        <v>0</v>
      </c>
      <c r="ET26" s="5">
        <f t="shared" si="19"/>
        <v>0</v>
      </c>
      <c r="EU26" s="5">
        <f t="shared" si="19"/>
        <v>0</v>
      </c>
      <c r="EV26" s="5">
        <f t="shared" si="19"/>
        <v>0</v>
      </c>
      <c r="EW26" s="5">
        <f t="shared" si="19"/>
        <v>0</v>
      </c>
      <c r="EX26" s="5">
        <f t="shared" si="19"/>
        <v>0</v>
      </c>
      <c r="EY26" s="5">
        <f t="shared" si="19"/>
        <v>0</v>
      </c>
      <c r="EZ26" s="5">
        <f t="shared" si="19"/>
        <v>0</v>
      </c>
      <c r="FA26" s="5">
        <f t="shared" si="19"/>
        <v>0</v>
      </c>
      <c r="FB26" s="5">
        <f t="shared" si="19"/>
        <v>0</v>
      </c>
      <c r="FC26" s="5">
        <f t="shared" si="19"/>
        <v>0</v>
      </c>
      <c r="FD26" s="5">
        <f t="shared" si="19"/>
        <v>0</v>
      </c>
      <c r="FE26" s="5">
        <f t="shared" si="19"/>
        <v>0</v>
      </c>
      <c r="FF26" s="5">
        <f t="shared" si="19"/>
        <v>0</v>
      </c>
      <c r="FG26" s="5">
        <f t="shared" si="19"/>
        <v>0</v>
      </c>
      <c r="FH26" s="5">
        <f t="shared" si="19"/>
        <v>0</v>
      </c>
      <c r="FI26" s="5">
        <f t="shared" si="19"/>
        <v>0</v>
      </c>
      <c r="FJ26" s="5">
        <f t="shared" si="19"/>
        <v>0</v>
      </c>
      <c r="FK26" s="5">
        <f t="shared" si="19"/>
        <v>0</v>
      </c>
      <c r="FL26" s="5">
        <f t="shared" si="19"/>
        <v>0</v>
      </c>
      <c r="FM26" s="5">
        <f t="shared" si="19"/>
        <v>0</v>
      </c>
      <c r="FN26" s="5">
        <f t="shared" si="19"/>
        <v>0</v>
      </c>
      <c r="FO26" s="5">
        <f t="shared" si="19"/>
        <v>0</v>
      </c>
      <c r="FP26" s="5">
        <f t="shared" si="19"/>
        <v>0</v>
      </c>
      <c r="FQ26" s="5">
        <f t="shared" si="19"/>
        <v>0</v>
      </c>
      <c r="FR26" s="5">
        <f t="shared" si="19"/>
        <v>0</v>
      </c>
      <c r="FS26" s="5">
        <f t="shared" ref="FS26:GX26" si="20">FS42</f>
        <v>0</v>
      </c>
      <c r="FT26" s="5">
        <f t="shared" si="20"/>
        <v>0</v>
      </c>
      <c r="FU26" s="5">
        <f t="shared" si="20"/>
        <v>0</v>
      </c>
      <c r="FV26" s="5">
        <f t="shared" si="20"/>
        <v>0</v>
      </c>
      <c r="FW26" s="5">
        <f t="shared" si="20"/>
        <v>0</v>
      </c>
      <c r="FX26" s="5">
        <f t="shared" si="20"/>
        <v>0</v>
      </c>
      <c r="FY26" s="5">
        <f t="shared" si="20"/>
        <v>0</v>
      </c>
      <c r="FZ26" s="5">
        <f t="shared" si="20"/>
        <v>0</v>
      </c>
      <c r="GA26" s="5">
        <f t="shared" si="20"/>
        <v>0</v>
      </c>
      <c r="GB26" s="5">
        <f t="shared" si="20"/>
        <v>0</v>
      </c>
      <c r="GC26" s="5">
        <f t="shared" si="20"/>
        <v>0</v>
      </c>
      <c r="GD26" s="5">
        <f t="shared" si="20"/>
        <v>0</v>
      </c>
      <c r="GE26" s="5">
        <f t="shared" si="20"/>
        <v>0</v>
      </c>
      <c r="GF26" s="5">
        <f t="shared" si="20"/>
        <v>0</v>
      </c>
      <c r="GG26" s="5">
        <f t="shared" si="20"/>
        <v>0</v>
      </c>
      <c r="GH26" s="5">
        <f t="shared" si="20"/>
        <v>0</v>
      </c>
      <c r="GI26" s="5">
        <f t="shared" si="20"/>
        <v>0</v>
      </c>
      <c r="GJ26" s="5">
        <f t="shared" si="20"/>
        <v>0</v>
      </c>
      <c r="GK26" s="5">
        <f t="shared" si="20"/>
        <v>0</v>
      </c>
      <c r="GL26" s="5">
        <f t="shared" si="20"/>
        <v>0</v>
      </c>
      <c r="GM26" s="5">
        <f t="shared" si="20"/>
        <v>0</v>
      </c>
      <c r="GN26" s="5">
        <f t="shared" si="20"/>
        <v>0</v>
      </c>
      <c r="GO26" s="5">
        <f t="shared" si="20"/>
        <v>0</v>
      </c>
      <c r="GP26" s="5">
        <f t="shared" si="20"/>
        <v>0</v>
      </c>
      <c r="GQ26" s="5">
        <f t="shared" si="20"/>
        <v>0</v>
      </c>
      <c r="GR26" s="5">
        <f t="shared" si="20"/>
        <v>0</v>
      </c>
      <c r="GS26" s="5">
        <f t="shared" si="20"/>
        <v>0</v>
      </c>
      <c r="GT26" s="5">
        <f t="shared" si="20"/>
        <v>0</v>
      </c>
      <c r="GU26" s="5">
        <f t="shared" si="20"/>
        <v>0</v>
      </c>
      <c r="GV26" s="5">
        <f t="shared" si="20"/>
        <v>0</v>
      </c>
      <c r="GW26" s="5">
        <f t="shared" si="20"/>
        <v>0</v>
      </c>
      <c r="GX26" s="5">
        <f t="shared" si="20"/>
        <v>0</v>
      </c>
    </row>
    <row r="28" spans="1:245" x14ac:dyDescent="0.25">
      <c r="A28">
        <v>17</v>
      </c>
      <c r="B28">
        <v>1</v>
      </c>
      <c r="C28">
        <f>ROW(SmtRes!A5)</f>
        <v>5</v>
      </c>
      <c r="D28">
        <f>ROW(EtalonRes!A5)</f>
        <v>5</v>
      </c>
      <c r="E28" t="s">
        <v>50</v>
      </c>
      <c r="F28" t="s">
        <v>345</v>
      </c>
      <c r="G28" t="s">
        <v>346</v>
      </c>
      <c r="H28" t="s">
        <v>347</v>
      </c>
      <c r="I28">
        <f>ROUND(2/100,7)</f>
        <v>0.02</v>
      </c>
      <c r="J28">
        <v>0</v>
      </c>
      <c r="K28">
        <f>ROUND(2/100,7)</f>
        <v>0.02</v>
      </c>
      <c r="O28">
        <f t="shared" ref="O28:O40" si="21">ROUND(CP28,2)</f>
        <v>3355.19</v>
      </c>
      <c r="P28">
        <f>SUMIF(SmtRes!AQ1:'SmtRes'!AQ5,"=1",SmtRes!DF1:'SmtRes'!DF5)</f>
        <v>2410.38</v>
      </c>
      <c r="Q28">
        <f>SUMIF(SmtRes!AQ1:'SmtRes'!AQ5,"=1",SmtRes!DG1:'SmtRes'!DG5)</f>
        <v>0.05</v>
      </c>
      <c r="R28">
        <f>SUMIF(SmtRes!AQ1:'SmtRes'!AQ5,"=1",SmtRes!DH1:'SmtRes'!DH5)</f>
        <v>0.29000000000000004</v>
      </c>
      <c r="S28">
        <f>SUMIF(SmtRes!AQ1:'SmtRes'!AQ5,"=1",SmtRes!DI1:'SmtRes'!DI5)</f>
        <v>944.47</v>
      </c>
      <c r="T28">
        <f t="shared" ref="T28:T40" si="22">ROUND(CU28*I28,2)</f>
        <v>0</v>
      </c>
      <c r="U28">
        <f>SUMIF(SmtRes!AQ1:'SmtRes'!AQ5,"=1",SmtRes!CV1:'SmtRes'!CV5)</f>
        <v>1.3855999999999999</v>
      </c>
      <c r="V28">
        <f>SUMIF(SmtRes!AQ1:'SmtRes'!AQ5,"=1",SmtRes!CW1:'SmtRes'!CW5)</f>
        <v>4.4000000000000002E-4</v>
      </c>
      <c r="W28">
        <f t="shared" ref="W28:W40" si="23">ROUND(CX28*I28,2)</f>
        <v>0</v>
      </c>
      <c r="X28">
        <f t="shared" ref="X28:X40" si="24">ROUND(CY28,2)</f>
        <v>850.28</v>
      </c>
      <c r="Y28">
        <f t="shared" ref="Y28:Y40" si="25">ROUND(CZ28,2)</f>
        <v>425.14</v>
      </c>
      <c r="AA28">
        <v>78397139</v>
      </c>
      <c r="AB28">
        <f t="shared" ref="AB28:AB40" si="26">ROUND((AC28+AD28+AF28),6)</f>
        <v>120714.85937999999</v>
      </c>
      <c r="AC28">
        <f>ROUND((SUM(SmtRes!BQ1:'SmtRes'!BQ5)),6)</f>
        <v>73489.5</v>
      </c>
      <c r="AD28">
        <f>ROUND((((SUM(SmtRes!BR1:'SmtRes'!BR5))-(SUM(SmtRes!BS1:'SmtRes'!BS5)))+AE28),6)</f>
        <v>2.0329799999999998</v>
      </c>
      <c r="AE28">
        <f>ROUND((SUM(SmtRes!BS1:'SmtRes'!BS5)),6)</f>
        <v>14.2685</v>
      </c>
      <c r="AF28">
        <f>ROUND((SUM(SmtRes!BT1:'SmtRes'!BT5)),6)</f>
        <v>47223.326399999998</v>
      </c>
      <c r="AG28">
        <f t="shared" ref="AG28:AG40" si="27">ROUND((AP28),6)</f>
        <v>0</v>
      </c>
      <c r="AH28">
        <f>(SUM(SmtRes!BU1:'SmtRes'!BU5))</f>
        <v>69.28</v>
      </c>
      <c r="AI28">
        <f>(SUM(SmtRes!BV1:'SmtRes'!BV5))</f>
        <v>2.1999999999999999E-2</v>
      </c>
      <c r="AJ28">
        <f t="shared" ref="AJ28:AJ40" si="28">(AS28)</f>
        <v>0</v>
      </c>
      <c r="AK28">
        <v>120729.12788</v>
      </c>
      <c r="AL28">
        <v>73489.5</v>
      </c>
      <c r="AM28">
        <v>2.0329799999999998</v>
      </c>
      <c r="AN28">
        <v>14.2685</v>
      </c>
      <c r="AO28">
        <v>47223.326399999998</v>
      </c>
      <c r="AP28">
        <v>0</v>
      </c>
      <c r="AQ28">
        <v>69.28</v>
      </c>
      <c r="AR28">
        <v>2.1999999999999999E-2</v>
      </c>
      <c r="AS28">
        <v>0</v>
      </c>
      <c r="AT28">
        <v>90</v>
      </c>
      <c r="AU28">
        <v>45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332</v>
      </c>
      <c r="BE28" t="s">
        <v>332</v>
      </c>
      <c r="BF28" t="s">
        <v>332</v>
      </c>
      <c r="BG28" t="s">
        <v>332</v>
      </c>
      <c r="BH28">
        <v>0</v>
      </c>
      <c r="BI28">
        <v>1</v>
      </c>
      <c r="BJ28" t="s">
        <v>348</v>
      </c>
      <c r="BM28">
        <v>63001</v>
      </c>
      <c r="BN28">
        <v>0</v>
      </c>
      <c r="BO28" t="s">
        <v>332</v>
      </c>
      <c r="BP28">
        <v>0</v>
      </c>
      <c r="BQ28">
        <v>6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332</v>
      </c>
      <c r="BZ28">
        <v>90</v>
      </c>
      <c r="CA28">
        <v>45</v>
      </c>
      <c r="CB28" t="s">
        <v>332</v>
      </c>
      <c r="CE28">
        <v>0</v>
      </c>
      <c r="CF28">
        <v>0</v>
      </c>
      <c r="CG28">
        <v>0</v>
      </c>
      <c r="CM28">
        <v>0</v>
      </c>
      <c r="CN28" t="s">
        <v>332</v>
      </c>
      <c r="CO28">
        <v>0</v>
      </c>
      <c r="CP28">
        <f t="shared" ref="CP28:CP40" si="29">(P28+Q28+S28+R28)</f>
        <v>3355.1900000000005</v>
      </c>
      <c r="CQ28">
        <f>SUMIF(SmtRes!AQ1:'SmtRes'!AQ5,"=1",SmtRes!AA1:'SmtRes'!AA5)</f>
        <v>114.78</v>
      </c>
      <c r="CR28">
        <f>SUMIF(SmtRes!AQ1:'SmtRes'!AQ5,"=1",SmtRes!AB1:'SmtRes'!AB5)</f>
        <v>700.76</v>
      </c>
      <c r="CS28">
        <f>SUMIF(SmtRes!AQ1:'SmtRes'!AQ5,"=1",SmtRes!AC1:'SmtRes'!AC5)</f>
        <v>1363.27</v>
      </c>
      <c r="CT28">
        <f>SUMIF(SmtRes!AQ1:'SmtRes'!AQ5,"=1",SmtRes!AD1:'SmtRes'!AD5)</f>
        <v>681.63</v>
      </c>
      <c r="CU28">
        <f t="shared" ref="CU28:CU40" si="30">AG28</f>
        <v>0</v>
      </c>
      <c r="CV28">
        <f>SUMIF(SmtRes!AQ1:'SmtRes'!AQ5,"=1",SmtRes!BU1:'SmtRes'!BU5)</f>
        <v>69.28</v>
      </c>
      <c r="CW28">
        <f>SUMIF(SmtRes!AQ1:'SmtRes'!AQ5,"=1",SmtRes!BV1:'SmtRes'!BV5)</f>
        <v>2.1999999999999999E-2</v>
      </c>
      <c r="CX28">
        <f t="shared" ref="CX28:CX40" si="31">AJ28</f>
        <v>0</v>
      </c>
      <c r="CY28">
        <f>(((S28+R28)*AT28)/100)</f>
        <v>850.28399999999999</v>
      </c>
      <c r="CZ28">
        <f>(((S28+R28)*AU28)/100)</f>
        <v>425.142</v>
      </c>
      <c r="DC28" t="s">
        <v>332</v>
      </c>
      <c r="DD28" t="s">
        <v>332</v>
      </c>
      <c r="DE28" t="s">
        <v>332</v>
      </c>
      <c r="DF28" t="s">
        <v>332</v>
      </c>
      <c r="DG28" t="s">
        <v>332</v>
      </c>
      <c r="DH28" t="s">
        <v>332</v>
      </c>
      <c r="DI28" t="s">
        <v>332</v>
      </c>
      <c r="DJ28" t="s">
        <v>332</v>
      </c>
      <c r="DK28" t="s">
        <v>332</v>
      </c>
      <c r="DL28" t="s">
        <v>332</v>
      </c>
      <c r="DM28" t="s">
        <v>332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347</v>
      </c>
      <c r="DW28" t="s">
        <v>347</v>
      </c>
      <c r="DX28">
        <v>100</v>
      </c>
      <c r="DZ28" t="s">
        <v>332</v>
      </c>
      <c r="EA28" t="s">
        <v>332</v>
      </c>
      <c r="EB28" t="s">
        <v>332</v>
      </c>
      <c r="EC28" t="s">
        <v>332</v>
      </c>
      <c r="EE28">
        <v>77313176</v>
      </c>
      <c r="EF28">
        <v>6</v>
      </c>
      <c r="EG28" t="s">
        <v>349</v>
      </c>
      <c r="EH28">
        <v>97</v>
      </c>
      <c r="EI28" t="s">
        <v>350</v>
      </c>
      <c r="EJ28">
        <v>1</v>
      </c>
      <c r="EK28">
        <v>63001</v>
      </c>
      <c r="EL28" t="s">
        <v>351</v>
      </c>
      <c r="EM28" t="s">
        <v>352</v>
      </c>
      <c r="EO28" t="s">
        <v>332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69.28</v>
      </c>
      <c r="EX28">
        <v>0.02</v>
      </c>
      <c r="EY28">
        <v>0</v>
      </c>
      <c r="FQ28">
        <v>0</v>
      </c>
      <c r="FR28">
        <v>0</v>
      </c>
      <c r="FS28">
        <v>0</v>
      </c>
      <c r="FX28">
        <v>90</v>
      </c>
      <c r="FY28">
        <v>45</v>
      </c>
      <c r="GA28" t="s">
        <v>332</v>
      </c>
      <c r="GD28">
        <v>1</v>
      </c>
      <c r="GF28">
        <v>481923225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ref="GL28:GL40" si="32">ROUND(IF(AND(BH28=3,BI28=3,FS28&lt;&gt;0),P28,0),2)</f>
        <v>0</v>
      </c>
      <c r="GM28">
        <f t="shared" ref="GM28:GM40" si="33">ROUND(O28+X28+Y28,2)+GX28</f>
        <v>4630.6099999999997</v>
      </c>
      <c r="GN28">
        <f t="shared" ref="GN28:GN40" si="34">IF(OR(BI28=0,BI28=1),GM28-GX28,0)</f>
        <v>4630.6099999999997</v>
      </c>
      <c r="GO28">
        <f t="shared" ref="GO28:GO40" si="35">IF(BI28=2,GM28-GX28,0)</f>
        <v>0</v>
      </c>
      <c r="GP28">
        <f t="shared" ref="GP28:GP40" si="36">IF(BI28=4,GM28-GX28,0)</f>
        <v>0</v>
      </c>
      <c r="GR28">
        <v>0</v>
      </c>
      <c r="GS28">
        <v>3</v>
      </c>
      <c r="GT28">
        <v>0</v>
      </c>
      <c r="GU28" t="s">
        <v>332</v>
      </c>
      <c r="GV28">
        <f t="shared" ref="GV28:GV40" si="37">ROUND((GT28),6)</f>
        <v>0</v>
      </c>
      <c r="GW28">
        <v>1</v>
      </c>
      <c r="GX28">
        <f t="shared" ref="GX28:GX40" si="38">ROUND(HC28*I28,2)</f>
        <v>0</v>
      </c>
      <c r="HA28">
        <v>0</v>
      </c>
      <c r="HB28">
        <v>0</v>
      </c>
      <c r="HC28">
        <f t="shared" ref="HC28:HC40" si="39">GV28*GW28</f>
        <v>0</v>
      </c>
      <c r="HE28" t="s">
        <v>332</v>
      </c>
      <c r="HF28" t="s">
        <v>332</v>
      </c>
      <c r="HM28" t="s">
        <v>332</v>
      </c>
      <c r="HN28" t="s">
        <v>72</v>
      </c>
      <c r="HO28" t="s">
        <v>75</v>
      </c>
      <c r="HP28" t="s">
        <v>351</v>
      </c>
      <c r="HQ28" t="s">
        <v>351</v>
      </c>
      <c r="HS28">
        <v>0</v>
      </c>
      <c r="IK28">
        <v>0</v>
      </c>
    </row>
    <row r="29" spans="1:245" x14ac:dyDescent="0.25">
      <c r="A29">
        <v>17</v>
      </c>
      <c r="B29">
        <v>1</v>
      </c>
      <c r="E29" t="s">
        <v>79</v>
      </c>
      <c r="F29" t="s">
        <v>67</v>
      </c>
      <c r="G29" t="s">
        <v>68</v>
      </c>
      <c r="H29" t="s">
        <v>69</v>
      </c>
      <c r="I29">
        <v>-21</v>
      </c>
      <c r="J29">
        <v>0</v>
      </c>
      <c r="K29">
        <v>-21</v>
      </c>
      <c r="O29">
        <f t="shared" si="21"/>
        <v>-2410.38</v>
      </c>
      <c r="P29">
        <f>ROUND(CQ29*I29,2)</f>
        <v>-2410.38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 t="shared" si="22"/>
        <v>0</v>
      </c>
      <c r="U29">
        <f>ROUND(CV29*I29,7)</f>
        <v>0</v>
      </c>
      <c r="V29">
        <f>ROUND(CW29*I29,7)</f>
        <v>0</v>
      </c>
      <c r="W29">
        <f t="shared" si="23"/>
        <v>0</v>
      </c>
      <c r="X29">
        <f t="shared" si="24"/>
        <v>0</v>
      </c>
      <c r="Y29">
        <f t="shared" si="25"/>
        <v>0</v>
      </c>
      <c r="AA29">
        <v>78397139</v>
      </c>
      <c r="AB29">
        <f t="shared" si="26"/>
        <v>69.989999999999995</v>
      </c>
      <c r="AC29">
        <f>ROUND((ES29),6)</f>
        <v>69.989999999999995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 t="shared" si="27"/>
        <v>0</v>
      </c>
      <c r="AH29">
        <f>(EW29)</f>
        <v>0</v>
      </c>
      <c r="AI29">
        <f>(EX29)</f>
        <v>0</v>
      </c>
      <c r="AJ29">
        <f t="shared" si="28"/>
        <v>0</v>
      </c>
      <c r="AK29">
        <v>69.989999999999995</v>
      </c>
      <c r="AL29">
        <v>69.989999999999995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1.64</v>
      </c>
      <c r="BD29" t="s">
        <v>332</v>
      </c>
      <c r="BE29" t="s">
        <v>332</v>
      </c>
      <c r="BF29" t="s">
        <v>332</v>
      </c>
      <c r="BG29" t="s">
        <v>332</v>
      </c>
      <c r="BH29">
        <v>3</v>
      </c>
      <c r="BI29">
        <v>1</v>
      </c>
      <c r="BJ29" t="s">
        <v>353</v>
      </c>
      <c r="BM29">
        <v>500001</v>
      </c>
      <c r="BN29">
        <v>0</v>
      </c>
      <c r="BO29" t="s">
        <v>67</v>
      </c>
      <c r="BP29">
        <v>1</v>
      </c>
      <c r="BQ29">
        <v>8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332</v>
      </c>
      <c r="BZ29">
        <v>0</v>
      </c>
      <c r="CA29">
        <v>0</v>
      </c>
      <c r="CB29" t="s">
        <v>332</v>
      </c>
      <c r="CE29">
        <v>0</v>
      </c>
      <c r="CF29">
        <v>0</v>
      </c>
      <c r="CG29">
        <v>0</v>
      </c>
      <c r="CM29">
        <v>0</v>
      </c>
      <c r="CN29" t="s">
        <v>332</v>
      </c>
      <c r="CO29">
        <v>0</v>
      </c>
      <c r="CP29">
        <f t="shared" si="29"/>
        <v>-2410.38</v>
      </c>
      <c r="CQ29">
        <f>ROUND(AL29*BC29,2)</f>
        <v>114.78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 t="shared" si="30"/>
        <v>0</v>
      </c>
      <c r="CV29">
        <f>AH29</f>
        <v>0</v>
      </c>
      <c r="CW29">
        <f>AI29</f>
        <v>0</v>
      </c>
      <c r="CX29">
        <f t="shared" si="31"/>
        <v>0</v>
      </c>
      <c r="CY29">
        <f>0</f>
        <v>0</v>
      </c>
      <c r="CZ29">
        <f>0</f>
        <v>0</v>
      </c>
      <c r="DC29" t="s">
        <v>332</v>
      </c>
      <c r="DD29" t="s">
        <v>332</v>
      </c>
      <c r="DE29" t="s">
        <v>332</v>
      </c>
      <c r="DF29" t="s">
        <v>332</v>
      </c>
      <c r="DG29" t="s">
        <v>332</v>
      </c>
      <c r="DH29" t="s">
        <v>332</v>
      </c>
      <c r="DI29" t="s">
        <v>332</v>
      </c>
      <c r="DJ29" t="s">
        <v>332</v>
      </c>
      <c r="DK29" t="s">
        <v>332</v>
      </c>
      <c r="DL29" t="s">
        <v>332</v>
      </c>
      <c r="DM29" t="s">
        <v>332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69</v>
      </c>
      <c r="DW29" t="s">
        <v>69</v>
      </c>
      <c r="DX29">
        <v>1</v>
      </c>
      <c r="DZ29" t="s">
        <v>332</v>
      </c>
      <c r="EA29" t="s">
        <v>332</v>
      </c>
      <c r="EB29" t="s">
        <v>332</v>
      </c>
      <c r="EC29" t="s">
        <v>332</v>
      </c>
      <c r="EE29">
        <v>77313025</v>
      </c>
      <c r="EF29">
        <v>8</v>
      </c>
      <c r="EG29" t="s">
        <v>354</v>
      </c>
      <c r="EH29">
        <v>0</v>
      </c>
      <c r="EI29" t="s">
        <v>332</v>
      </c>
      <c r="EJ29">
        <v>1</v>
      </c>
      <c r="EK29">
        <v>500001</v>
      </c>
      <c r="EL29" t="s">
        <v>355</v>
      </c>
      <c r="EM29" t="s">
        <v>356</v>
      </c>
      <c r="EO29" t="s">
        <v>332</v>
      </c>
      <c r="EQ29">
        <v>0</v>
      </c>
      <c r="ER29">
        <v>69.989999999999995</v>
      </c>
      <c r="ES29">
        <v>69.989999999999995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0</v>
      </c>
      <c r="FY29">
        <v>0</v>
      </c>
      <c r="GA29" t="s">
        <v>332</v>
      </c>
      <c r="GD29">
        <v>1</v>
      </c>
      <c r="GF29">
        <v>154173286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32"/>
        <v>0</v>
      </c>
      <c r="GM29">
        <f t="shared" si="33"/>
        <v>-2410.38</v>
      </c>
      <c r="GN29">
        <f t="shared" si="34"/>
        <v>-2410.38</v>
      </c>
      <c r="GO29">
        <f t="shared" si="35"/>
        <v>0</v>
      </c>
      <c r="GP29">
        <f t="shared" si="36"/>
        <v>0</v>
      </c>
      <c r="GR29">
        <v>0</v>
      </c>
      <c r="GS29">
        <v>3</v>
      </c>
      <c r="GT29">
        <v>0</v>
      </c>
      <c r="GU29" t="s">
        <v>332</v>
      </c>
      <c r="GV29">
        <f t="shared" si="37"/>
        <v>0</v>
      </c>
      <c r="GW29">
        <v>1</v>
      </c>
      <c r="GX29">
        <f t="shared" si="38"/>
        <v>0</v>
      </c>
      <c r="HA29">
        <v>0</v>
      </c>
      <c r="HB29">
        <v>0</v>
      </c>
      <c r="HC29">
        <f t="shared" si="39"/>
        <v>0</v>
      </c>
      <c r="HE29" t="s">
        <v>332</v>
      </c>
      <c r="HF29" t="s">
        <v>332</v>
      </c>
      <c r="HM29" t="s">
        <v>332</v>
      </c>
      <c r="HN29" t="s">
        <v>332</v>
      </c>
      <c r="HO29" t="s">
        <v>332</v>
      </c>
      <c r="HP29" t="s">
        <v>332</v>
      </c>
      <c r="HQ29" t="s">
        <v>332</v>
      </c>
      <c r="HS29">
        <v>0</v>
      </c>
      <c r="IK29">
        <v>0</v>
      </c>
    </row>
    <row r="30" spans="1:245" x14ac:dyDescent="0.25">
      <c r="A30">
        <v>17</v>
      </c>
      <c r="B30">
        <v>1</v>
      </c>
      <c r="C30">
        <f>ROW(SmtRes!A12)</f>
        <v>12</v>
      </c>
      <c r="D30">
        <f>ROW(EtalonRes!A12)</f>
        <v>12</v>
      </c>
      <c r="E30" t="s">
        <v>80</v>
      </c>
      <c r="F30" t="s">
        <v>357</v>
      </c>
      <c r="G30" t="s">
        <v>358</v>
      </c>
      <c r="H30" t="s">
        <v>228</v>
      </c>
      <c r="I30">
        <f>ROUND(1/100,7)</f>
        <v>0.01</v>
      </c>
      <c r="J30">
        <v>0</v>
      </c>
      <c r="K30">
        <f>ROUND(1/100,7)</f>
        <v>0.01</v>
      </c>
      <c r="O30">
        <f t="shared" si="21"/>
        <v>2536.4</v>
      </c>
      <c r="P30">
        <f>SUMIF(SmtRes!AQ6:'SmtRes'!AQ12,"=1",SmtRes!DF6:'SmtRes'!DF12)</f>
        <v>379.63</v>
      </c>
      <c r="Q30">
        <f>SUMIF(SmtRes!AQ6:'SmtRes'!AQ12,"=1",SmtRes!DG6:'SmtRes'!DG12)</f>
        <v>27.02</v>
      </c>
      <c r="R30">
        <f>SUMIF(SmtRes!AQ6:'SmtRes'!AQ12,"=1",SmtRes!DH6:'SmtRes'!DH12)</f>
        <v>30.33</v>
      </c>
      <c r="S30">
        <f>SUMIF(SmtRes!AQ6:'SmtRes'!AQ12,"=1",SmtRes!DI6:'SmtRes'!DI12)</f>
        <v>2099.42</v>
      </c>
      <c r="T30">
        <f t="shared" si="22"/>
        <v>0</v>
      </c>
      <c r="U30">
        <f>SUMIF(SmtRes!AQ6:'SmtRes'!AQ12,"=1",SmtRes!CV6:'SmtRes'!CV12)</f>
        <v>3.08</v>
      </c>
      <c r="V30">
        <f>SUMIF(SmtRes!AQ6:'SmtRes'!AQ12,"=1",SmtRes!CW6:'SmtRes'!CW12)</f>
        <v>4.2000000000000003E-2</v>
      </c>
      <c r="W30">
        <f t="shared" si="23"/>
        <v>0</v>
      </c>
      <c r="X30">
        <f t="shared" si="24"/>
        <v>2193.64</v>
      </c>
      <c r="Y30">
        <f t="shared" si="25"/>
        <v>1107.47</v>
      </c>
      <c r="AA30">
        <v>78397139</v>
      </c>
      <c r="AB30">
        <f t="shared" si="26"/>
        <v>247246.37549999999</v>
      </c>
      <c r="AC30">
        <f>ROUND((SUM(SmtRes!BQ6:'SmtRes'!BQ12)),6)</f>
        <v>34602.517500000002</v>
      </c>
      <c r="AD30">
        <f>ROUND((((SUM(SmtRes!BR6:'SmtRes'!BR12))-(SUM(SmtRes!BS6:'SmtRes'!BS12)))+AE30),6)</f>
        <v>2701.8180000000002</v>
      </c>
      <c r="AE30">
        <f>ROUND((SUM(SmtRes!BS6:'SmtRes'!BS12)),6)</f>
        <v>3032.61</v>
      </c>
      <c r="AF30">
        <f>ROUND((SUM(SmtRes!BT6:'SmtRes'!BT12)),6)</f>
        <v>209942.04</v>
      </c>
      <c r="AG30">
        <f t="shared" si="27"/>
        <v>0</v>
      </c>
      <c r="AH30">
        <f>(SUM(SmtRes!BU6:'SmtRes'!BU12))</f>
        <v>308</v>
      </c>
      <c r="AI30">
        <f>(SUM(SmtRes!BV6:'SmtRes'!BV12))</f>
        <v>4.2</v>
      </c>
      <c r="AJ30">
        <f t="shared" si="28"/>
        <v>0</v>
      </c>
      <c r="AK30">
        <v>250278.98550000001</v>
      </c>
      <c r="AL30">
        <v>34602.517500000002</v>
      </c>
      <c r="AM30">
        <v>2701.8180000000002</v>
      </c>
      <c r="AN30">
        <v>3032.61</v>
      </c>
      <c r="AO30">
        <v>209942.04</v>
      </c>
      <c r="AP30">
        <v>0</v>
      </c>
      <c r="AQ30">
        <v>308</v>
      </c>
      <c r="AR30">
        <v>4.2</v>
      </c>
      <c r="AS30">
        <v>0</v>
      </c>
      <c r="AT30">
        <v>103</v>
      </c>
      <c r="AU30">
        <v>52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332</v>
      </c>
      <c r="BE30" t="s">
        <v>332</v>
      </c>
      <c r="BF30" t="s">
        <v>332</v>
      </c>
      <c r="BG30" t="s">
        <v>332</v>
      </c>
      <c r="BH30">
        <v>0</v>
      </c>
      <c r="BI30">
        <v>1</v>
      </c>
      <c r="BJ30" t="s">
        <v>359</v>
      </c>
      <c r="BM30">
        <v>65007</v>
      </c>
      <c r="BN30">
        <v>0</v>
      </c>
      <c r="BO30" t="s">
        <v>332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332</v>
      </c>
      <c r="BZ30">
        <v>103</v>
      </c>
      <c r="CA30">
        <v>52</v>
      </c>
      <c r="CB30" t="s">
        <v>332</v>
      </c>
      <c r="CE30">
        <v>0</v>
      </c>
      <c r="CF30">
        <v>0</v>
      </c>
      <c r="CG30">
        <v>0</v>
      </c>
      <c r="CM30">
        <v>0</v>
      </c>
      <c r="CN30" t="s">
        <v>332</v>
      </c>
      <c r="CO30">
        <v>0</v>
      </c>
      <c r="CP30">
        <f t="shared" si="29"/>
        <v>2536.4</v>
      </c>
      <c r="CQ30">
        <f>SUMIF(SmtRes!AQ6:'SmtRes'!AQ12,"=1",SmtRes!AA6:'SmtRes'!AA12)</f>
        <v>181544.86</v>
      </c>
      <c r="CR30">
        <f>SUMIF(SmtRes!AQ6:'SmtRes'!AQ12,"=1",SmtRes!AB6:'SmtRes'!AB12)</f>
        <v>643.29</v>
      </c>
      <c r="CS30">
        <f>SUMIF(SmtRes!AQ6:'SmtRes'!AQ12,"=1",SmtRes!AC6:'SmtRes'!AC12)</f>
        <v>722.05</v>
      </c>
      <c r="CT30">
        <f>SUMIF(SmtRes!AQ6:'SmtRes'!AQ12,"=1",SmtRes!AD6:'SmtRes'!AD12)</f>
        <v>681.63</v>
      </c>
      <c r="CU30">
        <f t="shared" si="30"/>
        <v>0</v>
      </c>
      <c r="CV30">
        <f>SUMIF(SmtRes!AQ6:'SmtRes'!AQ12,"=1",SmtRes!BU6:'SmtRes'!BU12)</f>
        <v>308</v>
      </c>
      <c r="CW30">
        <f>SUMIF(SmtRes!AQ6:'SmtRes'!AQ12,"=1",SmtRes!BV6:'SmtRes'!BV12)</f>
        <v>4.2</v>
      </c>
      <c r="CX30">
        <f t="shared" si="31"/>
        <v>0</v>
      </c>
      <c r="CY30">
        <f t="shared" ref="CY30:CY40" si="40">(((S30+R30)*AT30)/100)</f>
        <v>2193.6424999999999</v>
      </c>
      <c r="CZ30">
        <f t="shared" ref="CZ30:CZ40" si="41">(((S30+R30)*AU30)/100)</f>
        <v>1107.47</v>
      </c>
      <c r="DC30" t="s">
        <v>332</v>
      </c>
      <c r="DD30" t="s">
        <v>332</v>
      </c>
      <c r="DE30" t="s">
        <v>332</v>
      </c>
      <c r="DF30" t="s">
        <v>332</v>
      </c>
      <c r="DG30" t="s">
        <v>332</v>
      </c>
      <c r="DH30" t="s">
        <v>332</v>
      </c>
      <c r="DI30" t="s">
        <v>332</v>
      </c>
      <c r="DJ30" t="s">
        <v>332</v>
      </c>
      <c r="DK30" t="s">
        <v>332</v>
      </c>
      <c r="DL30" t="s">
        <v>332</v>
      </c>
      <c r="DM30" t="s">
        <v>332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228</v>
      </c>
      <c r="DW30" t="s">
        <v>228</v>
      </c>
      <c r="DX30">
        <v>1</v>
      </c>
      <c r="DZ30" t="s">
        <v>332</v>
      </c>
      <c r="EA30" t="s">
        <v>332</v>
      </c>
      <c r="EB30" t="s">
        <v>332</v>
      </c>
      <c r="EC30" t="s">
        <v>332</v>
      </c>
      <c r="EE30">
        <v>77313190</v>
      </c>
      <c r="EF30">
        <v>6</v>
      </c>
      <c r="EG30" t="s">
        <v>349</v>
      </c>
      <c r="EH30">
        <v>99</v>
      </c>
      <c r="EI30" t="s">
        <v>360</v>
      </c>
      <c r="EJ30">
        <v>1</v>
      </c>
      <c r="EK30">
        <v>65007</v>
      </c>
      <c r="EL30" t="s">
        <v>361</v>
      </c>
      <c r="EM30" t="s">
        <v>362</v>
      </c>
      <c r="EO30" t="s">
        <v>332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308</v>
      </c>
      <c r="EX30">
        <v>4.2</v>
      </c>
      <c r="EY30">
        <v>0</v>
      </c>
      <c r="FQ30">
        <v>0</v>
      </c>
      <c r="FR30">
        <v>0</v>
      </c>
      <c r="FS30">
        <v>0</v>
      </c>
      <c r="FX30">
        <v>103</v>
      </c>
      <c r="FY30">
        <v>52</v>
      </c>
      <c r="GA30" t="s">
        <v>332</v>
      </c>
      <c r="GD30">
        <v>1</v>
      </c>
      <c r="GF30">
        <v>613865979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32"/>
        <v>0</v>
      </c>
      <c r="GM30">
        <f t="shared" si="33"/>
        <v>5837.51</v>
      </c>
      <c r="GN30">
        <f t="shared" si="34"/>
        <v>5837.51</v>
      </c>
      <c r="GO30">
        <f t="shared" si="35"/>
        <v>0</v>
      </c>
      <c r="GP30">
        <f t="shared" si="36"/>
        <v>0</v>
      </c>
      <c r="GR30">
        <v>0</v>
      </c>
      <c r="GS30">
        <v>3</v>
      </c>
      <c r="GT30">
        <v>0</v>
      </c>
      <c r="GU30" t="s">
        <v>332</v>
      </c>
      <c r="GV30">
        <f t="shared" si="37"/>
        <v>0</v>
      </c>
      <c r="GW30">
        <v>1</v>
      </c>
      <c r="GX30">
        <f t="shared" si="38"/>
        <v>0</v>
      </c>
      <c r="HA30">
        <v>0</v>
      </c>
      <c r="HB30">
        <v>0</v>
      </c>
      <c r="HC30">
        <f t="shared" si="39"/>
        <v>0</v>
      </c>
      <c r="HE30" t="s">
        <v>332</v>
      </c>
      <c r="HF30" t="s">
        <v>332</v>
      </c>
      <c r="HM30" t="s">
        <v>332</v>
      </c>
      <c r="HN30" t="s">
        <v>90</v>
      </c>
      <c r="HO30" t="s">
        <v>92</v>
      </c>
      <c r="HP30" t="s">
        <v>361</v>
      </c>
      <c r="HQ30" t="s">
        <v>361</v>
      </c>
      <c r="HS30">
        <v>0</v>
      </c>
      <c r="IK30">
        <v>0</v>
      </c>
    </row>
    <row r="31" spans="1:245" x14ac:dyDescent="0.25">
      <c r="A31">
        <v>18</v>
      </c>
      <c r="B31">
        <v>1</v>
      </c>
      <c r="C31">
        <v>11</v>
      </c>
      <c r="E31" t="s">
        <v>363</v>
      </c>
      <c r="F31" t="s">
        <v>364</v>
      </c>
      <c r="G31" t="s">
        <v>365</v>
      </c>
      <c r="H31" t="s">
        <v>366</v>
      </c>
      <c r="I31">
        <f>I30*J31</f>
        <v>1</v>
      </c>
      <c r="J31">
        <v>100</v>
      </c>
      <c r="K31">
        <v>100</v>
      </c>
      <c r="O31">
        <f t="shared" si="21"/>
        <v>12434.52</v>
      </c>
      <c r="P31">
        <f>ROUND(CQ31*I31,2)</f>
        <v>12434.52</v>
      </c>
      <c r="Q31">
        <f>ROUND(CR31*I31,2)</f>
        <v>0</v>
      </c>
      <c r="R31">
        <f>ROUND(CS31*I31,2)</f>
        <v>0</v>
      </c>
      <c r="S31">
        <f>ROUND(CT31*I31,2)</f>
        <v>0</v>
      </c>
      <c r="T31">
        <f t="shared" si="22"/>
        <v>0</v>
      </c>
      <c r="U31">
        <f>ROUND(CV31*I31,7)</f>
        <v>0</v>
      </c>
      <c r="V31">
        <f>ROUND(CW31*I31,7)</f>
        <v>0</v>
      </c>
      <c r="W31">
        <f t="shared" si="23"/>
        <v>0</v>
      </c>
      <c r="X31">
        <f t="shared" si="24"/>
        <v>0</v>
      </c>
      <c r="Y31">
        <f t="shared" si="25"/>
        <v>0</v>
      </c>
      <c r="AA31">
        <v>78397139</v>
      </c>
      <c r="AB31">
        <f t="shared" si="26"/>
        <v>9492</v>
      </c>
      <c r="AC31">
        <f>ROUND((ES31),6)</f>
        <v>9492</v>
      </c>
      <c r="AD31">
        <f>ROUND((((ET31)-(EU31))+AE31),6)</f>
        <v>0</v>
      </c>
      <c r="AE31">
        <f>ROUND((EU31),6)</f>
        <v>0</v>
      </c>
      <c r="AF31">
        <f>ROUND((EV31),6)</f>
        <v>0</v>
      </c>
      <c r="AG31">
        <f t="shared" si="27"/>
        <v>0</v>
      </c>
      <c r="AH31">
        <f>(EW31)</f>
        <v>0</v>
      </c>
      <c r="AI31">
        <f>(EX31)</f>
        <v>0</v>
      </c>
      <c r="AJ31">
        <f t="shared" si="28"/>
        <v>0</v>
      </c>
      <c r="AK31">
        <v>9492</v>
      </c>
      <c r="AL31">
        <v>9492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103</v>
      </c>
      <c r="AU31">
        <v>52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1.31</v>
      </c>
      <c r="BD31" t="s">
        <v>332</v>
      </c>
      <c r="BE31" t="s">
        <v>332</v>
      </c>
      <c r="BF31" t="s">
        <v>332</v>
      </c>
      <c r="BG31" t="s">
        <v>332</v>
      </c>
      <c r="BH31">
        <v>3</v>
      </c>
      <c r="BI31">
        <v>1</v>
      </c>
      <c r="BJ31" t="s">
        <v>367</v>
      </c>
      <c r="BM31">
        <v>65007</v>
      </c>
      <c r="BN31">
        <v>0</v>
      </c>
      <c r="BO31" t="s">
        <v>364</v>
      </c>
      <c r="BP31">
        <v>1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332</v>
      </c>
      <c r="BZ31">
        <v>103</v>
      </c>
      <c r="CA31">
        <v>52</v>
      </c>
      <c r="CB31" t="s">
        <v>332</v>
      </c>
      <c r="CE31">
        <v>0</v>
      </c>
      <c r="CF31">
        <v>0</v>
      </c>
      <c r="CG31">
        <v>0</v>
      </c>
      <c r="CM31">
        <v>0</v>
      </c>
      <c r="CN31" t="s">
        <v>332</v>
      </c>
      <c r="CO31">
        <v>0</v>
      </c>
      <c r="CP31">
        <f t="shared" si="29"/>
        <v>12434.52</v>
      </c>
      <c r="CQ31">
        <f>ROUND(AL31*BC31,2)</f>
        <v>12434.52</v>
      </c>
      <c r="CR31">
        <f>ROUND(AM31*BB31,2)</f>
        <v>0</v>
      </c>
      <c r="CS31">
        <f>ROUND(AN31*BS31,2)</f>
        <v>0</v>
      </c>
      <c r="CT31">
        <f>ROUND(AO31*BA31,2)</f>
        <v>0</v>
      </c>
      <c r="CU31">
        <f t="shared" si="30"/>
        <v>0</v>
      </c>
      <c r="CV31">
        <f>AH31</f>
        <v>0</v>
      </c>
      <c r="CW31">
        <f>AI31</f>
        <v>0</v>
      </c>
      <c r="CX31">
        <f t="shared" si="31"/>
        <v>0</v>
      </c>
      <c r="CY31">
        <f t="shared" si="40"/>
        <v>0</v>
      </c>
      <c r="CZ31">
        <f t="shared" si="41"/>
        <v>0</v>
      </c>
      <c r="DC31" t="s">
        <v>332</v>
      </c>
      <c r="DD31" t="s">
        <v>332</v>
      </c>
      <c r="DE31" t="s">
        <v>332</v>
      </c>
      <c r="DF31" t="s">
        <v>332</v>
      </c>
      <c r="DG31" t="s">
        <v>332</v>
      </c>
      <c r="DH31" t="s">
        <v>332</v>
      </c>
      <c r="DI31" t="s">
        <v>332</v>
      </c>
      <c r="DJ31" t="s">
        <v>332</v>
      </c>
      <c r="DK31" t="s">
        <v>332</v>
      </c>
      <c r="DL31" t="s">
        <v>332</v>
      </c>
      <c r="DM31" t="s">
        <v>332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366</v>
      </c>
      <c r="DW31" t="s">
        <v>366</v>
      </c>
      <c r="DX31">
        <v>1</v>
      </c>
      <c r="DZ31" t="s">
        <v>332</v>
      </c>
      <c r="EA31" t="s">
        <v>332</v>
      </c>
      <c r="EB31" t="s">
        <v>332</v>
      </c>
      <c r="EC31" t="s">
        <v>332</v>
      </c>
      <c r="EE31">
        <v>77313190</v>
      </c>
      <c r="EF31">
        <v>6</v>
      </c>
      <c r="EG31" t="s">
        <v>349</v>
      </c>
      <c r="EH31">
        <v>99</v>
      </c>
      <c r="EI31" t="s">
        <v>360</v>
      </c>
      <c r="EJ31">
        <v>1</v>
      </c>
      <c r="EK31">
        <v>65007</v>
      </c>
      <c r="EL31" t="s">
        <v>361</v>
      </c>
      <c r="EM31" t="s">
        <v>362</v>
      </c>
      <c r="EO31" t="s">
        <v>332</v>
      </c>
      <c r="EQ31">
        <v>0</v>
      </c>
      <c r="ER31">
        <v>9492</v>
      </c>
      <c r="ES31">
        <v>9492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v>0</v>
      </c>
      <c r="FS31">
        <v>0</v>
      </c>
      <c r="FX31">
        <v>103</v>
      </c>
      <c r="FY31">
        <v>52</v>
      </c>
      <c r="GA31" t="s">
        <v>332</v>
      </c>
      <c r="GD31">
        <v>1</v>
      </c>
      <c r="GF31">
        <v>1359928159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32"/>
        <v>0</v>
      </c>
      <c r="GM31">
        <f t="shared" si="33"/>
        <v>12434.52</v>
      </c>
      <c r="GN31">
        <f t="shared" si="34"/>
        <v>12434.52</v>
      </c>
      <c r="GO31">
        <f t="shared" si="35"/>
        <v>0</v>
      </c>
      <c r="GP31">
        <f t="shared" si="36"/>
        <v>0</v>
      </c>
      <c r="GR31">
        <v>0</v>
      </c>
      <c r="GS31">
        <v>3</v>
      </c>
      <c r="GT31">
        <v>0</v>
      </c>
      <c r="GU31" t="s">
        <v>332</v>
      </c>
      <c r="GV31">
        <f t="shared" si="37"/>
        <v>0</v>
      </c>
      <c r="GW31">
        <v>1</v>
      </c>
      <c r="GX31">
        <f t="shared" si="38"/>
        <v>0</v>
      </c>
      <c r="HA31">
        <v>0</v>
      </c>
      <c r="HB31">
        <v>0</v>
      </c>
      <c r="HC31">
        <f t="shared" si="39"/>
        <v>0</v>
      </c>
      <c r="HE31" t="s">
        <v>332</v>
      </c>
      <c r="HF31" t="s">
        <v>332</v>
      </c>
      <c r="HM31" t="s">
        <v>332</v>
      </c>
      <c r="HN31" t="s">
        <v>90</v>
      </c>
      <c r="HO31" t="s">
        <v>92</v>
      </c>
      <c r="HP31" t="s">
        <v>361</v>
      </c>
      <c r="HQ31" t="s">
        <v>361</v>
      </c>
      <c r="HS31">
        <v>0</v>
      </c>
      <c r="IK31">
        <v>0</v>
      </c>
    </row>
    <row r="32" spans="1:245" x14ac:dyDescent="0.25">
      <c r="A32">
        <v>18</v>
      </c>
      <c r="B32">
        <v>1</v>
      </c>
      <c r="C32">
        <v>12</v>
      </c>
      <c r="E32" t="s">
        <v>368</v>
      </c>
      <c r="F32" t="s">
        <v>369</v>
      </c>
      <c r="G32" t="s">
        <v>370</v>
      </c>
      <c r="H32" t="s">
        <v>87</v>
      </c>
      <c r="I32">
        <f>I30*J32</f>
        <v>3.8399999999999997E-2</v>
      </c>
      <c r="J32">
        <v>3.84</v>
      </c>
      <c r="K32">
        <v>3.84</v>
      </c>
      <c r="O32">
        <f t="shared" si="21"/>
        <v>0</v>
      </c>
      <c r="P32">
        <f>ROUND(CQ32*I32,2)</f>
        <v>0</v>
      </c>
      <c r="Q32">
        <f>ROUND(CR32*I32,2)</f>
        <v>0</v>
      </c>
      <c r="R32">
        <f>ROUND(CS32*I32,2)</f>
        <v>0</v>
      </c>
      <c r="S32">
        <f>ROUND(CT32*I32,2)</f>
        <v>0</v>
      </c>
      <c r="T32">
        <f t="shared" si="22"/>
        <v>0</v>
      </c>
      <c r="U32">
        <f>ROUND(CV32*I32,7)</f>
        <v>0</v>
      </c>
      <c r="V32">
        <f>ROUND(CW32*I32,7)</f>
        <v>0</v>
      </c>
      <c r="W32">
        <f t="shared" si="23"/>
        <v>0</v>
      </c>
      <c r="X32">
        <f t="shared" si="24"/>
        <v>0</v>
      </c>
      <c r="Y32">
        <f t="shared" si="25"/>
        <v>0</v>
      </c>
      <c r="AA32">
        <v>78397139</v>
      </c>
      <c r="AB32">
        <f t="shared" si="26"/>
        <v>0</v>
      </c>
      <c r="AC32">
        <f>ROUND((ES32),6)</f>
        <v>0</v>
      </c>
      <c r="AD32">
        <f>ROUND((((ET32)-(EU32))+AE32),6)</f>
        <v>0</v>
      </c>
      <c r="AE32">
        <f>ROUND((EU32),6)</f>
        <v>0</v>
      </c>
      <c r="AF32">
        <f>ROUND((EV32),6)</f>
        <v>0</v>
      </c>
      <c r="AG32">
        <f t="shared" si="27"/>
        <v>0</v>
      </c>
      <c r="AH32">
        <f>(EW32)</f>
        <v>0</v>
      </c>
      <c r="AI32">
        <f>(EX32)</f>
        <v>0</v>
      </c>
      <c r="AJ32">
        <f t="shared" si="28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103</v>
      </c>
      <c r="AU32">
        <v>52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332</v>
      </c>
      <c r="BE32" t="s">
        <v>332</v>
      </c>
      <c r="BF32" t="s">
        <v>332</v>
      </c>
      <c r="BG32" t="s">
        <v>332</v>
      </c>
      <c r="BH32">
        <v>3</v>
      </c>
      <c r="BI32">
        <v>1</v>
      </c>
      <c r="BJ32" t="s">
        <v>332</v>
      </c>
      <c r="BM32">
        <v>65007</v>
      </c>
      <c r="BN32">
        <v>0</v>
      </c>
      <c r="BO32" t="s">
        <v>332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332</v>
      </c>
      <c r="BZ32">
        <v>103</v>
      </c>
      <c r="CA32">
        <v>52</v>
      </c>
      <c r="CB32" t="s">
        <v>332</v>
      </c>
      <c r="CE32">
        <v>0</v>
      </c>
      <c r="CF32">
        <v>0</v>
      </c>
      <c r="CG32">
        <v>0</v>
      </c>
      <c r="CM32">
        <v>0</v>
      </c>
      <c r="CN32" t="s">
        <v>332</v>
      </c>
      <c r="CO32">
        <v>0</v>
      </c>
      <c r="CP32">
        <f t="shared" si="29"/>
        <v>0</v>
      </c>
      <c r="CQ32">
        <f>ROUND(AL32*BC32,2)</f>
        <v>0</v>
      </c>
      <c r="CR32">
        <f>ROUND(AM32*BB32,2)</f>
        <v>0</v>
      </c>
      <c r="CS32">
        <f>ROUND(AN32*BS32,2)</f>
        <v>0</v>
      </c>
      <c r="CT32">
        <f>ROUND(AO32*BA32,2)</f>
        <v>0</v>
      </c>
      <c r="CU32">
        <f t="shared" si="30"/>
        <v>0</v>
      </c>
      <c r="CV32">
        <f>AH32</f>
        <v>0</v>
      </c>
      <c r="CW32">
        <f>AI32</f>
        <v>0</v>
      </c>
      <c r="CX32">
        <f t="shared" si="31"/>
        <v>0</v>
      </c>
      <c r="CY32">
        <f t="shared" si="40"/>
        <v>0</v>
      </c>
      <c r="CZ32">
        <f t="shared" si="41"/>
        <v>0</v>
      </c>
      <c r="DC32" t="s">
        <v>332</v>
      </c>
      <c r="DD32" t="s">
        <v>332</v>
      </c>
      <c r="DE32" t="s">
        <v>332</v>
      </c>
      <c r="DF32" t="s">
        <v>332</v>
      </c>
      <c r="DG32" t="s">
        <v>332</v>
      </c>
      <c r="DH32" t="s">
        <v>332</v>
      </c>
      <c r="DI32" t="s">
        <v>332</v>
      </c>
      <c r="DJ32" t="s">
        <v>332</v>
      </c>
      <c r="DK32" t="s">
        <v>332</v>
      </c>
      <c r="DL32" t="s">
        <v>332</v>
      </c>
      <c r="DM32" t="s">
        <v>332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87</v>
      </c>
      <c r="DW32" t="s">
        <v>87</v>
      </c>
      <c r="DX32">
        <v>1000</v>
      </c>
      <c r="DZ32" t="s">
        <v>332</v>
      </c>
      <c r="EA32" t="s">
        <v>332</v>
      </c>
      <c r="EB32" t="s">
        <v>332</v>
      </c>
      <c r="EC32" t="s">
        <v>332</v>
      </c>
      <c r="EE32">
        <v>77313190</v>
      </c>
      <c r="EF32">
        <v>6</v>
      </c>
      <c r="EG32" t="s">
        <v>349</v>
      </c>
      <c r="EH32">
        <v>99</v>
      </c>
      <c r="EI32" t="s">
        <v>360</v>
      </c>
      <c r="EJ32">
        <v>1</v>
      </c>
      <c r="EK32">
        <v>65007</v>
      </c>
      <c r="EL32" t="s">
        <v>361</v>
      </c>
      <c r="EM32" t="s">
        <v>362</v>
      </c>
      <c r="EO32" t="s">
        <v>332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v>0</v>
      </c>
      <c r="FS32">
        <v>0</v>
      </c>
      <c r="FX32">
        <v>103</v>
      </c>
      <c r="FY32">
        <v>52</v>
      </c>
      <c r="GA32" t="s">
        <v>332</v>
      </c>
      <c r="GD32">
        <v>1</v>
      </c>
      <c r="GF32">
        <v>-1296435862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32"/>
        <v>0</v>
      </c>
      <c r="GM32">
        <f t="shared" si="33"/>
        <v>0</v>
      </c>
      <c r="GN32">
        <f t="shared" si="34"/>
        <v>0</v>
      </c>
      <c r="GO32">
        <f t="shared" si="35"/>
        <v>0</v>
      </c>
      <c r="GP32">
        <f t="shared" si="36"/>
        <v>0</v>
      </c>
      <c r="GR32">
        <v>0</v>
      </c>
      <c r="GS32">
        <v>3</v>
      </c>
      <c r="GT32">
        <v>0</v>
      </c>
      <c r="GU32" t="s">
        <v>332</v>
      </c>
      <c r="GV32">
        <f t="shared" si="37"/>
        <v>0</v>
      </c>
      <c r="GW32">
        <v>1</v>
      </c>
      <c r="GX32">
        <f t="shared" si="38"/>
        <v>0</v>
      </c>
      <c r="HA32">
        <v>0</v>
      </c>
      <c r="HB32">
        <v>0</v>
      </c>
      <c r="HC32">
        <f t="shared" si="39"/>
        <v>0</v>
      </c>
      <c r="HE32" t="s">
        <v>332</v>
      </c>
      <c r="HF32" t="s">
        <v>332</v>
      </c>
      <c r="HM32" t="s">
        <v>332</v>
      </c>
      <c r="HN32" t="s">
        <v>90</v>
      </c>
      <c r="HO32" t="s">
        <v>92</v>
      </c>
      <c r="HP32" t="s">
        <v>361</v>
      </c>
      <c r="HQ32" t="s">
        <v>361</v>
      </c>
      <c r="HS32">
        <v>0</v>
      </c>
      <c r="IK32">
        <v>0</v>
      </c>
    </row>
    <row r="33" spans="1:245" x14ac:dyDescent="0.25">
      <c r="A33">
        <v>17</v>
      </c>
      <c r="B33">
        <v>1</v>
      </c>
      <c r="C33">
        <f>ROW(SmtRes!A24)</f>
        <v>24</v>
      </c>
      <c r="D33">
        <f>ROW(EtalonRes!A25)</f>
        <v>25</v>
      </c>
      <c r="E33" t="s">
        <v>94</v>
      </c>
      <c r="F33" t="s">
        <v>371</v>
      </c>
      <c r="G33" t="s">
        <v>372</v>
      </c>
      <c r="H33" t="s">
        <v>225</v>
      </c>
      <c r="I33">
        <f>ROUND(2/100,7)</f>
        <v>0.02</v>
      </c>
      <c r="J33">
        <v>0</v>
      </c>
      <c r="K33">
        <f>ROUND(2/100,7)</f>
        <v>0.02</v>
      </c>
      <c r="O33">
        <f t="shared" si="21"/>
        <v>2599.41</v>
      </c>
      <c r="P33">
        <f>SUMIF(SmtRes!AQ13:'SmtRes'!AQ24,"=1",SmtRes!DF13:'SmtRes'!DF24)</f>
        <v>42.6</v>
      </c>
      <c r="Q33">
        <f>SUMIF(SmtRes!AQ13:'SmtRes'!AQ24,"=1",SmtRes!DG13:'SmtRes'!DG24)</f>
        <v>22.700000000000003</v>
      </c>
      <c r="R33">
        <f>SUMIF(SmtRes!AQ13:'SmtRes'!AQ24,"=1",SmtRes!DH13:'SmtRes'!DH24)</f>
        <v>9.82</v>
      </c>
      <c r="S33">
        <f>SUMIF(SmtRes!AQ13:'SmtRes'!AQ24,"=1",SmtRes!DI13:'SmtRes'!DI24)</f>
        <v>2524.29</v>
      </c>
      <c r="T33">
        <f t="shared" si="22"/>
        <v>0</v>
      </c>
      <c r="U33">
        <f>SUMIF(SmtRes!AQ13:'SmtRes'!AQ24,"=1",SmtRes!CV13:'SmtRes'!CV24)</f>
        <v>3.496</v>
      </c>
      <c r="V33">
        <f>SUMIF(SmtRes!AQ13:'SmtRes'!AQ24,"=1",SmtRes!CW13:'SmtRes'!CW24)</f>
        <v>1.44E-2</v>
      </c>
      <c r="W33">
        <f t="shared" si="23"/>
        <v>0</v>
      </c>
      <c r="X33">
        <f t="shared" si="24"/>
        <v>2610.13</v>
      </c>
      <c r="Y33">
        <f t="shared" si="25"/>
        <v>1317.74</v>
      </c>
      <c r="AA33">
        <v>78397139</v>
      </c>
      <c r="AB33">
        <f t="shared" si="26"/>
        <v>129351.40478</v>
      </c>
      <c r="AC33">
        <f>ROUND((SUM(SmtRes!BQ13:'SmtRes'!BQ24)),6)</f>
        <v>2017.79618</v>
      </c>
      <c r="AD33">
        <f>ROUND((((SUM(SmtRes!BR13:'SmtRes'!BR24))-(SUM(SmtRes!BS13:'SmtRes'!BS24)))+AE33),6)</f>
        <v>1119.2686000000001</v>
      </c>
      <c r="AE33">
        <f>ROUND((SUM(SmtRes!BS13:'SmtRes'!BS24)),6)</f>
        <v>490.77719999999999</v>
      </c>
      <c r="AF33">
        <f>ROUND((SUM(SmtRes!BT13:'SmtRes'!BT24)),6)</f>
        <v>126214.34</v>
      </c>
      <c r="AG33">
        <f t="shared" si="27"/>
        <v>0</v>
      </c>
      <c r="AH33">
        <f>(SUM(SmtRes!BU13:'SmtRes'!BU24))</f>
        <v>174.8</v>
      </c>
      <c r="AI33">
        <f>(SUM(SmtRes!BV13:'SmtRes'!BV24))</f>
        <v>0.72</v>
      </c>
      <c r="AJ33">
        <f t="shared" si="28"/>
        <v>0</v>
      </c>
      <c r="AK33">
        <v>129842.18197999999</v>
      </c>
      <c r="AL33">
        <v>2017.79618</v>
      </c>
      <c r="AM33">
        <v>1119.2686000000001</v>
      </c>
      <c r="AN33">
        <v>490.77719999999999</v>
      </c>
      <c r="AO33">
        <v>126214.34</v>
      </c>
      <c r="AP33">
        <v>0</v>
      </c>
      <c r="AQ33">
        <v>174.8</v>
      </c>
      <c r="AR33">
        <v>0.72</v>
      </c>
      <c r="AS33">
        <v>0</v>
      </c>
      <c r="AT33">
        <v>103</v>
      </c>
      <c r="AU33">
        <v>52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332</v>
      </c>
      <c r="BE33" t="s">
        <v>332</v>
      </c>
      <c r="BF33" t="s">
        <v>332</v>
      </c>
      <c r="BG33" t="s">
        <v>332</v>
      </c>
      <c r="BH33">
        <v>0</v>
      </c>
      <c r="BI33">
        <v>1</v>
      </c>
      <c r="BJ33" t="s">
        <v>373</v>
      </c>
      <c r="BM33">
        <v>65007</v>
      </c>
      <c r="BN33">
        <v>0</v>
      </c>
      <c r="BO33" t="s">
        <v>332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332</v>
      </c>
      <c r="BZ33">
        <v>103</v>
      </c>
      <c r="CA33">
        <v>52</v>
      </c>
      <c r="CB33" t="s">
        <v>332</v>
      </c>
      <c r="CE33">
        <v>0</v>
      </c>
      <c r="CF33">
        <v>0</v>
      </c>
      <c r="CG33">
        <v>0</v>
      </c>
      <c r="CM33">
        <v>0</v>
      </c>
      <c r="CN33" t="s">
        <v>332</v>
      </c>
      <c r="CO33">
        <v>0</v>
      </c>
      <c r="CP33">
        <f t="shared" si="29"/>
        <v>2599.4100000000003</v>
      </c>
      <c r="CQ33">
        <f>SUMIF(SmtRes!AQ13:'SmtRes'!AQ24,"=1",SmtRes!AA13:'SmtRes'!AA24)</f>
        <v>109686.28</v>
      </c>
      <c r="CR33">
        <f>SUMIF(SmtRes!AQ13:'SmtRes'!AQ24,"=1",SmtRes!AB13:'SmtRes'!AB24)</f>
        <v>738.37</v>
      </c>
      <c r="CS33">
        <f>SUMIF(SmtRes!AQ13:'SmtRes'!AQ24,"=1",SmtRes!AC13:'SmtRes'!AC24)</f>
        <v>1363.27</v>
      </c>
      <c r="CT33">
        <f>SUMIF(SmtRes!AQ13:'SmtRes'!AQ24,"=1",SmtRes!AD13:'SmtRes'!AD24)</f>
        <v>722.05</v>
      </c>
      <c r="CU33">
        <f t="shared" si="30"/>
        <v>0</v>
      </c>
      <c r="CV33">
        <f>SUMIF(SmtRes!AQ13:'SmtRes'!AQ24,"=1",SmtRes!BU13:'SmtRes'!BU24)</f>
        <v>174.8</v>
      </c>
      <c r="CW33">
        <f>SUMIF(SmtRes!AQ13:'SmtRes'!AQ24,"=1",SmtRes!BV13:'SmtRes'!BV24)</f>
        <v>0.72</v>
      </c>
      <c r="CX33">
        <f t="shared" si="31"/>
        <v>0</v>
      </c>
      <c r="CY33">
        <f t="shared" si="40"/>
        <v>2610.1333</v>
      </c>
      <c r="CZ33">
        <f t="shared" si="41"/>
        <v>1317.7372</v>
      </c>
      <c r="DC33" t="s">
        <v>332</v>
      </c>
      <c r="DD33" t="s">
        <v>332</v>
      </c>
      <c r="DE33" t="s">
        <v>332</v>
      </c>
      <c r="DF33" t="s">
        <v>332</v>
      </c>
      <c r="DG33" t="s">
        <v>332</v>
      </c>
      <c r="DH33" t="s">
        <v>332</v>
      </c>
      <c r="DI33" t="s">
        <v>332</v>
      </c>
      <c r="DJ33" t="s">
        <v>332</v>
      </c>
      <c r="DK33" t="s">
        <v>332</v>
      </c>
      <c r="DL33" t="s">
        <v>332</v>
      </c>
      <c r="DM33" t="s">
        <v>332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225</v>
      </c>
      <c r="DW33" t="s">
        <v>225</v>
      </c>
      <c r="DX33">
        <v>100</v>
      </c>
      <c r="DZ33" t="s">
        <v>332</v>
      </c>
      <c r="EA33" t="s">
        <v>332</v>
      </c>
      <c r="EB33" t="s">
        <v>332</v>
      </c>
      <c r="EC33" t="s">
        <v>332</v>
      </c>
      <c r="EE33">
        <v>77313190</v>
      </c>
      <c r="EF33">
        <v>6</v>
      </c>
      <c r="EG33" t="s">
        <v>349</v>
      </c>
      <c r="EH33">
        <v>99</v>
      </c>
      <c r="EI33" t="s">
        <v>360</v>
      </c>
      <c r="EJ33">
        <v>1</v>
      </c>
      <c r="EK33">
        <v>65007</v>
      </c>
      <c r="EL33" t="s">
        <v>361</v>
      </c>
      <c r="EM33" t="s">
        <v>362</v>
      </c>
      <c r="EO33" t="s">
        <v>332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174.8</v>
      </c>
      <c r="EX33">
        <v>0.72</v>
      </c>
      <c r="EY33">
        <v>0</v>
      </c>
      <c r="FQ33">
        <v>0</v>
      </c>
      <c r="FR33">
        <v>0</v>
      </c>
      <c r="FS33">
        <v>0</v>
      </c>
      <c r="FX33">
        <v>103</v>
      </c>
      <c r="FY33">
        <v>52</v>
      </c>
      <c r="GA33" t="s">
        <v>332</v>
      </c>
      <c r="GD33">
        <v>1</v>
      </c>
      <c r="GF33">
        <v>-3564011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2"/>
        <v>0</v>
      </c>
      <c r="GM33">
        <f t="shared" si="33"/>
        <v>6527.28</v>
      </c>
      <c r="GN33">
        <f t="shared" si="34"/>
        <v>6527.28</v>
      </c>
      <c r="GO33">
        <f t="shared" si="35"/>
        <v>0</v>
      </c>
      <c r="GP33">
        <f t="shared" si="36"/>
        <v>0</v>
      </c>
      <c r="GR33">
        <v>0</v>
      </c>
      <c r="GS33">
        <v>3</v>
      </c>
      <c r="GT33">
        <v>0</v>
      </c>
      <c r="GU33" t="s">
        <v>332</v>
      </c>
      <c r="GV33">
        <f t="shared" si="37"/>
        <v>0</v>
      </c>
      <c r="GW33">
        <v>1</v>
      </c>
      <c r="GX33">
        <f t="shared" si="38"/>
        <v>0</v>
      </c>
      <c r="HA33">
        <v>0</v>
      </c>
      <c r="HB33">
        <v>0</v>
      </c>
      <c r="HC33">
        <f t="shared" si="39"/>
        <v>0</v>
      </c>
      <c r="HE33" t="s">
        <v>332</v>
      </c>
      <c r="HF33" t="s">
        <v>332</v>
      </c>
      <c r="HM33" t="s">
        <v>332</v>
      </c>
      <c r="HN33" t="s">
        <v>90</v>
      </c>
      <c r="HO33" t="s">
        <v>92</v>
      </c>
      <c r="HP33" t="s">
        <v>361</v>
      </c>
      <c r="HQ33" t="s">
        <v>361</v>
      </c>
      <c r="HS33">
        <v>0</v>
      </c>
      <c r="IK33">
        <v>0</v>
      </c>
    </row>
    <row r="34" spans="1:245" x14ac:dyDescent="0.25">
      <c r="A34">
        <v>18</v>
      </c>
      <c r="B34">
        <v>1</v>
      </c>
      <c r="C34">
        <v>23</v>
      </c>
      <c r="E34" t="s">
        <v>374</v>
      </c>
      <c r="F34" t="s">
        <v>375</v>
      </c>
      <c r="G34" t="s">
        <v>376</v>
      </c>
      <c r="H34" t="s">
        <v>69</v>
      </c>
      <c r="I34">
        <f>I33*J34</f>
        <v>2</v>
      </c>
      <c r="J34">
        <v>100</v>
      </c>
      <c r="K34">
        <v>100</v>
      </c>
      <c r="O34">
        <f t="shared" si="21"/>
        <v>1536.66</v>
      </c>
      <c r="P34">
        <f>ROUND(CQ34*I34,2)</f>
        <v>1536.66</v>
      </c>
      <c r="Q34">
        <f>ROUND(CR34*I34,2)</f>
        <v>0</v>
      </c>
      <c r="R34">
        <f>ROUND(CS34*I34,2)</f>
        <v>0</v>
      </c>
      <c r="S34">
        <f>ROUND(CT34*I34,2)</f>
        <v>0</v>
      </c>
      <c r="T34">
        <f t="shared" si="22"/>
        <v>0</v>
      </c>
      <c r="U34">
        <f>ROUND(CV34*I34,7)</f>
        <v>0</v>
      </c>
      <c r="V34">
        <f>ROUND(CW34*I34,7)</f>
        <v>0</v>
      </c>
      <c r="W34">
        <f t="shared" si="23"/>
        <v>0</v>
      </c>
      <c r="X34">
        <f t="shared" si="24"/>
        <v>0</v>
      </c>
      <c r="Y34">
        <f t="shared" si="25"/>
        <v>0</v>
      </c>
      <c r="AA34">
        <v>78397139</v>
      </c>
      <c r="AB34">
        <f t="shared" si="26"/>
        <v>960.41</v>
      </c>
      <c r="AC34">
        <f>ROUND((ES34),6)</f>
        <v>960.41</v>
      </c>
      <c r="AD34">
        <f>ROUND((((ET34)-(EU34))+AE34),6)</f>
        <v>0</v>
      </c>
      <c r="AE34">
        <f>ROUND((EU34),6)</f>
        <v>0</v>
      </c>
      <c r="AF34">
        <f>ROUND((EV34),6)</f>
        <v>0</v>
      </c>
      <c r="AG34">
        <f t="shared" si="27"/>
        <v>0</v>
      </c>
      <c r="AH34">
        <f>(EW34)</f>
        <v>0</v>
      </c>
      <c r="AI34">
        <f>(EX34)</f>
        <v>0</v>
      </c>
      <c r="AJ34">
        <f t="shared" si="28"/>
        <v>0</v>
      </c>
      <c r="AK34">
        <v>960.41</v>
      </c>
      <c r="AL34">
        <v>960.41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103</v>
      </c>
      <c r="AU34">
        <v>52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0.8</v>
      </c>
      <c r="BD34" t="s">
        <v>332</v>
      </c>
      <c r="BE34" t="s">
        <v>332</v>
      </c>
      <c r="BF34" t="s">
        <v>332</v>
      </c>
      <c r="BG34" t="s">
        <v>332</v>
      </c>
      <c r="BH34">
        <v>3</v>
      </c>
      <c r="BI34">
        <v>1</v>
      </c>
      <c r="BJ34" t="s">
        <v>377</v>
      </c>
      <c r="BM34">
        <v>65007</v>
      </c>
      <c r="BN34">
        <v>0</v>
      </c>
      <c r="BO34" t="s">
        <v>375</v>
      </c>
      <c r="BP34">
        <v>1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332</v>
      </c>
      <c r="BZ34">
        <v>103</v>
      </c>
      <c r="CA34">
        <v>52</v>
      </c>
      <c r="CB34" t="s">
        <v>332</v>
      </c>
      <c r="CE34">
        <v>0</v>
      </c>
      <c r="CF34">
        <v>0</v>
      </c>
      <c r="CG34">
        <v>0</v>
      </c>
      <c r="CM34">
        <v>0</v>
      </c>
      <c r="CN34" t="s">
        <v>332</v>
      </c>
      <c r="CO34">
        <v>0</v>
      </c>
      <c r="CP34">
        <f t="shared" si="29"/>
        <v>1536.66</v>
      </c>
      <c r="CQ34">
        <f>ROUND(AL34*BC34,2)</f>
        <v>768.33</v>
      </c>
      <c r="CR34">
        <f>ROUND(AM34*BB34,2)</f>
        <v>0</v>
      </c>
      <c r="CS34">
        <f>ROUND(AN34*BS34,2)</f>
        <v>0</v>
      </c>
      <c r="CT34">
        <f>ROUND(AO34*BA34,2)</f>
        <v>0</v>
      </c>
      <c r="CU34">
        <f t="shared" si="30"/>
        <v>0</v>
      </c>
      <c r="CV34">
        <f>AH34</f>
        <v>0</v>
      </c>
      <c r="CW34">
        <f>AI34</f>
        <v>0</v>
      </c>
      <c r="CX34">
        <f t="shared" si="31"/>
        <v>0</v>
      </c>
      <c r="CY34">
        <f t="shared" si="40"/>
        <v>0</v>
      </c>
      <c r="CZ34">
        <f t="shared" si="41"/>
        <v>0</v>
      </c>
      <c r="DC34" t="s">
        <v>332</v>
      </c>
      <c r="DD34" t="s">
        <v>332</v>
      </c>
      <c r="DE34" t="s">
        <v>332</v>
      </c>
      <c r="DF34" t="s">
        <v>332</v>
      </c>
      <c r="DG34" t="s">
        <v>332</v>
      </c>
      <c r="DH34" t="s">
        <v>332</v>
      </c>
      <c r="DI34" t="s">
        <v>332</v>
      </c>
      <c r="DJ34" t="s">
        <v>332</v>
      </c>
      <c r="DK34" t="s">
        <v>332</v>
      </c>
      <c r="DL34" t="s">
        <v>332</v>
      </c>
      <c r="DM34" t="s">
        <v>332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69</v>
      </c>
      <c r="DW34" t="s">
        <v>69</v>
      </c>
      <c r="DX34">
        <v>1</v>
      </c>
      <c r="DZ34" t="s">
        <v>332</v>
      </c>
      <c r="EA34" t="s">
        <v>332</v>
      </c>
      <c r="EB34" t="s">
        <v>332</v>
      </c>
      <c r="EC34" t="s">
        <v>332</v>
      </c>
      <c r="EE34">
        <v>77313190</v>
      </c>
      <c r="EF34">
        <v>6</v>
      </c>
      <c r="EG34" t="s">
        <v>349</v>
      </c>
      <c r="EH34">
        <v>99</v>
      </c>
      <c r="EI34" t="s">
        <v>360</v>
      </c>
      <c r="EJ34">
        <v>1</v>
      </c>
      <c r="EK34">
        <v>65007</v>
      </c>
      <c r="EL34" t="s">
        <v>361</v>
      </c>
      <c r="EM34" t="s">
        <v>362</v>
      </c>
      <c r="EO34" t="s">
        <v>332</v>
      </c>
      <c r="EQ34">
        <v>0</v>
      </c>
      <c r="ER34">
        <v>960.41</v>
      </c>
      <c r="ES34">
        <v>960.41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v>0</v>
      </c>
      <c r="FS34">
        <v>0</v>
      </c>
      <c r="FX34">
        <v>103</v>
      </c>
      <c r="FY34">
        <v>52</v>
      </c>
      <c r="GA34" t="s">
        <v>332</v>
      </c>
      <c r="GD34">
        <v>1</v>
      </c>
      <c r="GF34">
        <v>-1460447525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32"/>
        <v>0</v>
      </c>
      <c r="GM34">
        <f t="shared" si="33"/>
        <v>1536.66</v>
      </c>
      <c r="GN34">
        <f t="shared" si="34"/>
        <v>1536.66</v>
      </c>
      <c r="GO34">
        <f t="shared" si="35"/>
        <v>0</v>
      </c>
      <c r="GP34">
        <f t="shared" si="36"/>
        <v>0</v>
      </c>
      <c r="GR34">
        <v>0</v>
      </c>
      <c r="GS34">
        <v>3</v>
      </c>
      <c r="GT34">
        <v>0</v>
      </c>
      <c r="GU34" t="s">
        <v>332</v>
      </c>
      <c r="GV34">
        <f t="shared" si="37"/>
        <v>0</v>
      </c>
      <c r="GW34">
        <v>1</v>
      </c>
      <c r="GX34">
        <f t="shared" si="38"/>
        <v>0</v>
      </c>
      <c r="HA34">
        <v>0</v>
      </c>
      <c r="HB34">
        <v>0</v>
      </c>
      <c r="HC34">
        <f t="shared" si="39"/>
        <v>0</v>
      </c>
      <c r="HE34" t="s">
        <v>332</v>
      </c>
      <c r="HF34" t="s">
        <v>332</v>
      </c>
      <c r="HM34" t="s">
        <v>332</v>
      </c>
      <c r="HN34" t="s">
        <v>90</v>
      </c>
      <c r="HO34" t="s">
        <v>92</v>
      </c>
      <c r="HP34" t="s">
        <v>361</v>
      </c>
      <c r="HQ34" t="s">
        <v>361</v>
      </c>
      <c r="HS34">
        <v>0</v>
      </c>
      <c r="IK34">
        <v>0</v>
      </c>
    </row>
    <row r="35" spans="1:245" x14ac:dyDescent="0.25">
      <c r="A35">
        <v>18</v>
      </c>
      <c r="B35">
        <v>1</v>
      </c>
      <c r="C35">
        <v>24</v>
      </c>
      <c r="E35" t="s">
        <v>378</v>
      </c>
      <c r="F35" t="s">
        <v>379</v>
      </c>
      <c r="G35" t="s">
        <v>380</v>
      </c>
      <c r="H35" t="s">
        <v>366</v>
      </c>
      <c r="I35">
        <f>I33*J35</f>
        <v>2</v>
      </c>
      <c r="J35">
        <v>100</v>
      </c>
      <c r="K35">
        <v>100</v>
      </c>
      <c r="O35">
        <f t="shared" si="21"/>
        <v>324.77999999999997</v>
      </c>
      <c r="P35">
        <f>ROUND(CQ35*I35,2)</f>
        <v>324.77999999999997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22"/>
        <v>0</v>
      </c>
      <c r="U35">
        <f>ROUND(CV35*I35,7)</f>
        <v>0</v>
      </c>
      <c r="V35">
        <f>ROUND(CW35*I35,7)</f>
        <v>0</v>
      </c>
      <c r="W35">
        <f t="shared" si="23"/>
        <v>0</v>
      </c>
      <c r="X35">
        <f t="shared" si="24"/>
        <v>0</v>
      </c>
      <c r="Y35">
        <f t="shared" si="25"/>
        <v>0</v>
      </c>
      <c r="AA35">
        <v>78397139</v>
      </c>
      <c r="AB35">
        <f t="shared" si="26"/>
        <v>130.96</v>
      </c>
      <c r="AC35">
        <f>ROUND((ES35),6)</f>
        <v>130.96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27"/>
        <v>0</v>
      </c>
      <c r="AH35">
        <f>(EW35)</f>
        <v>0</v>
      </c>
      <c r="AI35">
        <f>(EX35)</f>
        <v>0</v>
      </c>
      <c r="AJ35">
        <f t="shared" si="28"/>
        <v>0</v>
      </c>
      <c r="AK35">
        <v>130.96</v>
      </c>
      <c r="AL35">
        <v>130.96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103</v>
      </c>
      <c r="AU35">
        <v>52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1.24</v>
      </c>
      <c r="BD35" t="s">
        <v>332</v>
      </c>
      <c r="BE35" t="s">
        <v>332</v>
      </c>
      <c r="BF35" t="s">
        <v>332</v>
      </c>
      <c r="BG35" t="s">
        <v>332</v>
      </c>
      <c r="BH35">
        <v>3</v>
      </c>
      <c r="BI35">
        <v>1</v>
      </c>
      <c r="BJ35" t="s">
        <v>381</v>
      </c>
      <c r="BM35">
        <v>65007</v>
      </c>
      <c r="BN35">
        <v>0</v>
      </c>
      <c r="BO35" t="s">
        <v>379</v>
      </c>
      <c r="BP35">
        <v>1</v>
      </c>
      <c r="BQ35">
        <v>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332</v>
      </c>
      <c r="BZ35">
        <v>103</v>
      </c>
      <c r="CA35">
        <v>52</v>
      </c>
      <c r="CB35" t="s">
        <v>332</v>
      </c>
      <c r="CE35">
        <v>0</v>
      </c>
      <c r="CF35">
        <v>0</v>
      </c>
      <c r="CG35">
        <v>0</v>
      </c>
      <c r="CM35">
        <v>0</v>
      </c>
      <c r="CN35" t="s">
        <v>332</v>
      </c>
      <c r="CO35">
        <v>0</v>
      </c>
      <c r="CP35">
        <f t="shared" si="29"/>
        <v>324.77999999999997</v>
      </c>
      <c r="CQ35">
        <f>ROUND(AL35*BC35,2)</f>
        <v>162.38999999999999</v>
      </c>
      <c r="CR35">
        <f>ROUND(AM35*BB35,2)</f>
        <v>0</v>
      </c>
      <c r="CS35">
        <f>ROUND(AN35*BS35,2)</f>
        <v>0</v>
      </c>
      <c r="CT35">
        <f>ROUND(AO35*BA35,2)</f>
        <v>0</v>
      </c>
      <c r="CU35">
        <f t="shared" si="30"/>
        <v>0</v>
      </c>
      <c r="CV35">
        <f>AH35</f>
        <v>0</v>
      </c>
      <c r="CW35">
        <f>AI35</f>
        <v>0</v>
      </c>
      <c r="CX35">
        <f t="shared" si="31"/>
        <v>0</v>
      </c>
      <c r="CY35">
        <f t="shared" si="40"/>
        <v>0</v>
      </c>
      <c r="CZ35">
        <f t="shared" si="41"/>
        <v>0</v>
      </c>
      <c r="DC35" t="s">
        <v>332</v>
      </c>
      <c r="DD35" t="s">
        <v>332</v>
      </c>
      <c r="DE35" t="s">
        <v>332</v>
      </c>
      <c r="DF35" t="s">
        <v>332</v>
      </c>
      <c r="DG35" t="s">
        <v>332</v>
      </c>
      <c r="DH35" t="s">
        <v>332</v>
      </c>
      <c r="DI35" t="s">
        <v>332</v>
      </c>
      <c r="DJ35" t="s">
        <v>332</v>
      </c>
      <c r="DK35" t="s">
        <v>332</v>
      </c>
      <c r="DL35" t="s">
        <v>332</v>
      </c>
      <c r="DM35" t="s">
        <v>332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366</v>
      </c>
      <c r="DW35" t="s">
        <v>366</v>
      </c>
      <c r="DX35">
        <v>1</v>
      </c>
      <c r="DZ35" t="s">
        <v>332</v>
      </c>
      <c r="EA35" t="s">
        <v>332</v>
      </c>
      <c r="EB35" t="s">
        <v>332</v>
      </c>
      <c r="EC35" t="s">
        <v>332</v>
      </c>
      <c r="EE35">
        <v>77313190</v>
      </c>
      <c r="EF35">
        <v>6</v>
      </c>
      <c r="EG35" t="s">
        <v>349</v>
      </c>
      <c r="EH35">
        <v>99</v>
      </c>
      <c r="EI35" t="s">
        <v>360</v>
      </c>
      <c r="EJ35">
        <v>1</v>
      </c>
      <c r="EK35">
        <v>65007</v>
      </c>
      <c r="EL35" t="s">
        <v>361</v>
      </c>
      <c r="EM35" t="s">
        <v>362</v>
      </c>
      <c r="EO35" t="s">
        <v>332</v>
      </c>
      <c r="EQ35">
        <v>0</v>
      </c>
      <c r="ER35">
        <v>130.96</v>
      </c>
      <c r="ES35">
        <v>130.96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103</v>
      </c>
      <c r="FY35">
        <v>52</v>
      </c>
      <c r="GA35" t="s">
        <v>332</v>
      </c>
      <c r="GD35">
        <v>1</v>
      </c>
      <c r="GF35">
        <v>-421326667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32"/>
        <v>0</v>
      </c>
      <c r="GM35">
        <f t="shared" si="33"/>
        <v>324.77999999999997</v>
      </c>
      <c r="GN35">
        <f t="shared" si="34"/>
        <v>324.77999999999997</v>
      </c>
      <c r="GO35">
        <f t="shared" si="35"/>
        <v>0</v>
      </c>
      <c r="GP35">
        <f t="shared" si="36"/>
        <v>0</v>
      </c>
      <c r="GR35">
        <v>0</v>
      </c>
      <c r="GS35">
        <v>3</v>
      </c>
      <c r="GT35">
        <v>0</v>
      </c>
      <c r="GU35" t="s">
        <v>332</v>
      </c>
      <c r="GV35">
        <f t="shared" si="37"/>
        <v>0</v>
      </c>
      <c r="GW35">
        <v>1</v>
      </c>
      <c r="GX35">
        <f t="shared" si="38"/>
        <v>0</v>
      </c>
      <c r="HA35">
        <v>0</v>
      </c>
      <c r="HB35">
        <v>0</v>
      </c>
      <c r="HC35">
        <f t="shared" si="39"/>
        <v>0</v>
      </c>
      <c r="HE35" t="s">
        <v>332</v>
      </c>
      <c r="HF35" t="s">
        <v>332</v>
      </c>
      <c r="HM35" t="s">
        <v>332</v>
      </c>
      <c r="HN35" t="s">
        <v>90</v>
      </c>
      <c r="HO35" t="s">
        <v>92</v>
      </c>
      <c r="HP35" t="s">
        <v>361</v>
      </c>
      <c r="HQ35" t="s">
        <v>361</v>
      </c>
      <c r="HS35">
        <v>0</v>
      </c>
      <c r="IK35">
        <v>0</v>
      </c>
    </row>
    <row r="36" spans="1:245" x14ac:dyDescent="0.25">
      <c r="A36">
        <v>17</v>
      </c>
      <c r="B36">
        <v>1</v>
      </c>
      <c r="C36">
        <f>ROW(SmtRes!A32)</f>
        <v>32</v>
      </c>
      <c r="D36">
        <f>ROW(EtalonRes!A33)</f>
        <v>33</v>
      </c>
      <c r="E36" t="s">
        <v>114</v>
      </c>
      <c r="F36" t="s">
        <v>382</v>
      </c>
      <c r="G36" t="s">
        <v>383</v>
      </c>
      <c r="H36" t="s">
        <v>347</v>
      </c>
      <c r="I36">
        <f>ROUND(0.559/100,7)</f>
        <v>5.5900000000000004E-3</v>
      </c>
      <c r="J36">
        <v>0</v>
      </c>
      <c r="K36">
        <f>ROUND(0.559/100,7)</f>
        <v>5.5900000000000004E-3</v>
      </c>
      <c r="O36">
        <f t="shared" si="21"/>
        <v>64.84</v>
      </c>
      <c r="P36">
        <f>SUMIF(SmtRes!AQ25:'SmtRes'!AQ32,"=1",SmtRes!DF25:'SmtRes'!DF32)</f>
        <v>9.7800000000000011</v>
      </c>
      <c r="Q36">
        <f>SUMIF(SmtRes!AQ25:'SmtRes'!AQ32,"=1",SmtRes!DG25:'SmtRes'!DG32)</f>
        <v>0.4</v>
      </c>
      <c r="R36">
        <f>SUMIF(SmtRes!AQ25:'SmtRes'!AQ32,"=1",SmtRes!DH25:'SmtRes'!DH32)</f>
        <v>0.22</v>
      </c>
      <c r="S36">
        <f>SUMIF(SmtRes!AQ25:'SmtRes'!AQ32,"=1",SmtRes!DI25:'SmtRes'!DI32)</f>
        <v>54.44</v>
      </c>
      <c r="T36">
        <f t="shared" si="22"/>
        <v>0</v>
      </c>
      <c r="U36">
        <f>SUMIF(SmtRes!AQ25:'SmtRes'!AQ32,"=1",SmtRes!CV25:'SmtRes'!CV32)</f>
        <v>6.8270700000000004E-2</v>
      </c>
      <c r="V36">
        <f>SUMIF(SmtRes!AQ25:'SmtRes'!AQ32,"=1",SmtRes!CW25:'SmtRes'!CW32)</f>
        <v>2.7960000000000002E-4</v>
      </c>
      <c r="W36">
        <f t="shared" si="23"/>
        <v>0</v>
      </c>
      <c r="X36">
        <f t="shared" si="24"/>
        <v>46.24</v>
      </c>
      <c r="Y36">
        <f t="shared" si="25"/>
        <v>23.7</v>
      </c>
      <c r="AA36">
        <v>78397139</v>
      </c>
      <c r="AB36">
        <f t="shared" si="26"/>
        <v>10959.06933</v>
      </c>
      <c r="AC36">
        <f>ROUND((SUM(SmtRes!BQ25:'SmtRes'!BQ32)),6)</f>
        <v>1150.6995899999999</v>
      </c>
      <c r="AD36">
        <f>ROUND((((SUM(SmtRes!BR25:'SmtRes'!BR32))-(SUM(SmtRes!BS25:'SmtRes'!BS32)))+AE36),6)</f>
        <v>68.746499999999997</v>
      </c>
      <c r="AE36">
        <f>ROUND((SUM(SmtRes!BS25:'SmtRes'!BS32)),6)</f>
        <v>38.796500000000002</v>
      </c>
      <c r="AF36">
        <f>ROUND((SUM(SmtRes!BT25:'SmtRes'!BT32)),6)</f>
        <v>9739.6232400000008</v>
      </c>
      <c r="AG36">
        <f t="shared" si="27"/>
        <v>0</v>
      </c>
      <c r="AH36">
        <f>(SUM(SmtRes!BU25:'SmtRes'!BU32))</f>
        <v>12.212999999999999</v>
      </c>
      <c r="AI36">
        <f>(SUM(SmtRes!BV25:'SmtRes'!BV32))</f>
        <v>0.05</v>
      </c>
      <c r="AJ36">
        <f t="shared" si="28"/>
        <v>0</v>
      </c>
      <c r="AK36">
        <v>4852.9857949999996</v>
      </c>
      <c r="AL36">
        <v>575.34979499999997</v>
      </c>
      <c r="AM36">
        <v>27.4986</v>
      </c>
      <c r="AN36">
        <v>15.518599999999999</v>
      </c>
      <c r="AO36">
        <v>4234.6188000000002</v>
      </c>
      <c r="AP36">
        <v>0</v>
      </c>
      <c r="AQ36">
        <v>5.31</v>
      </c>
      <c r="AR36">
        <v>0.02</v>
      </c>
      <c r="AS36">
        <v>0</v>
      </c>
      <c r="AT36">
        <v>84.6</v>
      </c>
      <c r="AU36">
        <v>43.35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332</v>
      </c>
      <c r="BE36" t="s">
        <v>332</v>
      </c>
      <c r="BF36" t="s">
        <v>332</v>
      </c>
      <c r="BG36" t="s">
        <v>332</v>
      </c>
      <c r="BH36">
        <v>0</v>
      </c>
      <c r="BI36">
        <v>1</v>
      </c>
      <c r="BJ36" t="s">
        <v>384</v>
      </c>
      <c r="BM36">
        <v>13001</v>
      </c>
      <c r="BN36">
        <v>0</v>
      </c>
      <c r="BO36" t="s">
        <v>332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332</v>
      </c>
      <c r="BZ36">
        <v>94</v>
      </c>
      <c r="CA36">
        <v>51</v>
      </c>
      <c r="CB36" t="s">
        <v>332</v>
      </c>
      <c r="CE36">
        <v>0</v>
      </c>
      <c r="CF36">
        <v>0</v>
      </c>
      <c r="CG36">
        <v>0</v>
      </c>
      <c r="CM36">
        <v>0</v>
      </c>
      <c r="CN36" t="s">
        <v>385</v>
      </c>
      <c r="CO36">
        <v>0</v>
      </c>
      <c r="CP36">
        <f t="shared" si="29"/>
        <v>64.84</v>
      </c>
      <c r="CQ36">
        <f>SUMIF(SmtRes!AQ25:'SmtRes'!AQ32,"=1",SmtRes!AA25:'SmtRes'!AA32)</f>
        <v>188246.74</v>
      </c>
      <c r="CR36">
        <f>SUMIF(SmtRes!AQ25:'SmtRes'!AQ32,"=1",SmtRes!AB25:'SmtRes'!AB32)</f>
        <v>2252.63</v>
      </c>
      <c r="CS36">
        <f>SUMIF(SmtRes!AQ25:'SmtRes'!AQ32,"=1",SmtRes!AC25:'SmtRes'!AC32)</f>
        <v>1551.86</v>
      </c>
      <c r="CT36">
        <f>SUMIF(SmtRes!AQ25:'SmtRes'!AQ32,"=1",SmtRes!AD25:'SmtRes'!AD32)</f>
        <v>797.48</v>
      </c>
      <c r="CU36">
        <f t="shared" si="30"/>
        <v>0</v>
      </c>
      <c r="CV36">
        <f>SUMIF(SmtRes!AQ25:'SmtRes'!AQ32,"=1",SmtRes!BU25:'SmtRes'!BU32)</f>
        <v>12.212999999999999</v>
      </c>
      <c r="CW36">
        <f>SUMIF(SmtRes!AQ25:'SmtRes'!AQ32,"=1",SmtRes!BV25:'SmtRes'!BV32)</f>
        <v>0.05</v>
      </c>
      <c r="CX36">
        <f t="shared" si="31"/>
        <v>0</v>
      </c>
      <c r="CY36">
        <f t="shared" si="40"/>
        <v>46.242359999999991</v>
      </c>
      <c r="CZ36">
        <f t="shared" si="41"/>
        <v>23.69511</v>
      </c>
      <c r="DC36" t="s">
        <v>332</v>
      </c>
      <c r="DD36" t="s">
        <v>386</v>
      </c>
      <c r="DE36" t="s">
        <v>387</v>
      </c>
      <c r="DF36" t="s">
        <v>387</v>
      </c>
      <c r="DG36" t="s">
        <v>388</v>
      </c>
      <c r="DH36" t="s">
        <v>332</v>
      </c>
      <c r="DI36" t="s">
        <v>388</v>
      </c>
      <c r="DJ36" t="s">
        <v>387</v>
      </c>
      <c r="DK36" t="s">
        <v>332</v>
      </c>
      <c r="DL36" t="s">
        <v>389</v>
      </c>
      <c r="DM36" t="s">
        <v>390</v>
      </c>
      <c r="DN36">
        <v>0</v>
      </c>
      <c r="DO36">
        <v>0</v>
      </c>
      <c r="DP36">
        <v>1</v>
      </c>
      <c r="DQ36">
        <v>1</v>
      </c>
      <c r="DU36">
        <v>1005</v>
      </c>
      <c r="DV36" t="s">
        <v>347</v>
      </c>
      <c r="DW36" t="s">
        <v>347</v>
      </c>
      <c r="DX36">
        <v>100</v>
      </c>
      <c r="DZ36" t="s">
        <v>332</v>
      </c>
      <c r="EA36" t="s">
        <v>332</v>
      </c>
      <c r="EB36" t="s">
        <v>332</v>
      </c>
      <c r="EC36" t="s">
        <v>332</v>
      </c>
      <c r="EE36">
        <v>77313095</v>
      </c>
      <c r="EF36">
        <v>2</v>
      </c>
      <c r="EG36" t="s">
        <v>391</v>
      </c>
      <c r="EH36">
        <v>13</v>
      </c>
      <c r="EI36" t="s">
        <v>392</v>
      </c>
      <c r="EJ36">
        <v>1</v>
      </c>
      <c r="EK36">
        <v>13001</v>
      </c>
      <c r="EL36" t="s">
        <v>393</v>
      </c>
      <c r="EM36" t="s">
        <v>394</v>
      </c>
      <c r="EO36" t="s">
        <v>395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5.31</v>
      </c>
      <c r="EX36">
        <v>0.02</v>
      </c>
      <c r="EY36">
        <v>0</v>
      </c>
      <c r="FQ36">
        <v>0</v>
      </c>
      <c r="FR36">
        <v>0</v>
      </c>
      <c r="FS36">
        <v>0</v>
      </c>
      <c r="FX36">
        <v>84.6</v>
      </c>
      <c r="FY36">
        <v>43.35</v>
      </c>
      <c r="GA36" t="s">
        <v>332</v>
      </c>
      <c r="GD36">
        <v>1</v>
      </c>
      <c r="GF36">
        <v>1741978867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32"/>
        <v>0</v>
      </c>
      <c r="GM36">
        <f t="shared" si="33"/>
        <v>134.78</v>
      </c>
      <c r="GN36">
        <f t="shared" si="34"/>
        <v>134.78</v>
      </c>
      <c r="GO36">
        <f t="shared" si="35"/>
        <v>0</v>
      </c>
      <c r="GP36">
        <f t="shared" si="36"/>
        <v>0</v>
      </c>
      <c r="GR36">
        <v>0</v>
      </c>
      <c r="GS36">
        <v>3</v>
      </c>
      <c r="GT36">
        <v>0</v>
      </c>
      <c r="GU36" t="s">
        <v>332</v>
      </c>
      <c r="GV36">
        <f t="shared" si="37"/>
        <v>0</v>
      </c>
      <c r="GW36">
        <v>1</v>
      </c>
      <c r="GX36">
        <f t="shared" si="38"/>
        <v>0</v>
      </c>
      <c r="HA36">
        <v>0</v>
      </c>
      <c r="HB36">
        <v>0</v>
      </c>
      <c r="HC36">
        <f t="shared" si="39"/>
        <v>0</v>
      </c>
      <c r="HE36" t="s">
        <v>332</v>
      </c>
      <c r="HF36" t="s">
        <v>332</v>
      </c>
      <c r="HM36" t="s">
        <v>332</v>
      </c>
      <c r="HN36" t="s">
        <v>396</v>
      </c>
      <c r="HO36" t="s">
        <v>397</v>
      </c>
      <c r="HP36" t="s">
        <v>392</v>
      </c>
      <c r="HQ36" t="s">
        <v>392</v>
      </c>
      <c r="HS36">
        <v>0</v>
      </c>
      <c r="IK36">
        <v>0</v>
      </c>
    </row>
    <row r="37" spans="1:245" x14ac:dyDescent="0.25">
      <c r="A37">
        <v>17</v>
      </c>
      <c r="B37">
        <v>1</v>
      </c>
      <c r="C37">
        <f>ROW(SmtRes!A39)</f>
        <v>39</v>
      </c>
      <c r="D37">
        <f>ROW(EtalonRes!A40)</f>
        <v>40</v>
      </c>
      <c r="E37" t="s">
        <v>135</v>
      </c>
      <c r="F37" t="s">
        <v>398</v>
      </c>
      <c r="G37" t="s">
        <v>399</v>
      </c>
      <c r="H37" t="s">
        <v>347</v>
      </c>
      <c r="I37">
        <f>ROUND(0.559/100,7)</f>
        <v>5.5900000000000004E-3</v>
      </c>
      <c r="J37">
        <v>0</v>
      </c>
      <c r="K37">
        <f>ROUND(0.559/100,7)</f>
        <v>5.5900000000000004E-3</v>
      </c>
      <c r="O37">
        <f t="shared" si="21"/>
        <v>279.23</v>
      </c>
      <c r="P37">
        <f>SUMIF(SmtRes!AQ33:'SmtRes'!AQ39,"=1",SmtRes!DF33:'SmtRes'!DF39)</f>
        <v>2.5500000000000003</v>
      </c>
      <c r="Q37">
        <f>SUMIF(SmtRes!AQ33:'SmtRes'!AQ39,"=1",SmtRes!DG33:'SmtRes'!DG39)</f>
        <v>0.13</v>
      </c>
      <c r="R37">
        <f>SUMIF(SmtRes!AQ33:'SmtRes'!AQ39,"=1",SmtRes!DH33:'SmtRes'!DH39)</f>
        <v>0.19</v>
      </c>
      <c r="S37">
        <f>SUMIF(SmtRes!AQ33:'SmtRes'!AQ39,"=1",SmtRes!DI33:'SmtRes'!DI39)</f>
        <v>276.36</v>
      </c>
      <c r="T37">
        <f t="shared" si="22"/>
        <v>0</v>
      </c>
      <c r="U37">
        <f>SUMIF(SmtRes!AQ33:'SmtRes'!AQ39,"=1",SmtRes!CV33:'SmtRes'!CV39)</f>
        <v>0.41528110000000001</v>
      </c>
      <c r="V37">
        <f>SUMIF(SmtRes!AQ33:'SmtRes'!AQ39,"=1",SmtRes!CW33:'SmtRes'!CW39)</f>
        <v>2.7950000000000002E-4</v>
      </c>
      <c r="W37">
        <f t="shared" si="23"/>
        <v>0</v>
      </c>
      <c r="X37">
        <f t="shared" si="24"/>
        <v>248.9</v>
      </c>
      <c r="Y37">
        <f t="shared" si="25"/>
        <v>115.18</v>
      </c>
      <c r="AA37">
        <v>78397139</v>
      </c>
      <c r="AB37">
        <f t="shared" si="26"/>
        <v>49839.126174999998</v>
      </c>
      <c r="AC37">
        <f>ROUND((SUM(SmtRes!BQ33:'SmtRes'!BQ39)),6)</f>
        <v>376.77</v>
      </c>
      <c r="AD37">
        <f>ROUND((((SUM(SmtRes!BR33:'SmtRes'!BR39))-(SUM(SmtRes!BS33:'SmtRes'!BS39)))+AE37),6)</f>
        <v>24.589874999999999</v>
      </c>
      <c r="AE37">
        <f>ROUND((SUM(SmtRes!BS33:'SmtRes'!BS39)),6)</f>
        <v>35.092125000000003</v>
      </c>
      <c r="AF37">
        <f>ROUND((SUM(SmtRes!BT33:'SmtRes'!BT39)),6)</f>
        <v>49437.766300000003</v>
      </c>
      <c r="AG37">
        <f t="shared" si="27"/>
        <v>0</v>
      </c>
      <c r="AH37">
        <f>(SUM(SmtRes!BU33:'SmtRes'!BU39))</f>
        <v>74.290000000000006</v>
      </c>
      <c r="AI37">
        <f>(SUM(SmtRes!BV33:'SmtRes'!BV39))</f>
        <v>0.05</v>
      </c>
      <c r="AJ37">
        <f t="shared" si="28"/>
        <v>0</v>
      </c>
      <c r="AK37">
        <v>43413.8776</v>
      </c>
      <c r="AL37">
        <v>376.77</v>
      </c>
      <c r="AM37">
        <v>19.671900000000001</v>
      </c>
      <c r="AN37">
        <v>28.073699999999999</v>
      </c>
      <c r="AO37">
        <v>42989.362000000001</v>
      </c>
      <c r="AP37">
        <v>0</v>
      </c>
      <c r="AQ37">
        <v>64.599999999999994</v>
      </c>
      <c r="AR37">
        <v>0.04</v>
      </c>
      <c r="AS37">
        <v>0</v>
      </c>
      <c r="AT37">
        <v>90</v>
      </c>
      <c r="AU37">
        <v>41.65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332</v>
      </c>
      <c r="BE37" t="s">
        <v>332</v>
      </c>
      <c r="BF37" t="s">
        <v>332</v>
      </c>
      <c r="BG37" t="s">
        <v>332</v>
      </c>
      <c r="BH37">
        <v>0</v>
      </c>
      <c r="BI37">
        <v>1</v>
      </c>
      <c r="BJ37" t="s">
        <v>400</v>
      </c>
      <c r="BM37">
        <v>15001</v>
      </c>
      <c r="BN37">
        <v>0</v>
      </c>
      <c r="BO37" t="s">
        <v>332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332</v>
      </c>
      <c r="BZ37">
        <v>100</v>
      </c>
      <c r="CA37">
        <v>49</v>
      </c>
      <c r="CB37" t="s">
        <v>332</v>
      </c>
      <c r="CE37">
        <v>0</v>
      </c>
      <c r="CF37">
        <v>0</v>
      </c>
      <c r="CG37">
        <v>0</v>
      </c>
      <c r="CM37">
        <v>0</v>
      </c>
      <c r="CN37" t="s">
        <v>385</v>
      </c>
      <c r="CO37">
        <v>0</v>
      </c>
      <c r="CP37">
        <f t="shared" si="29"/>
        <v>279.23</v>
      </c>
      <c r="CQ37">
        <f>SUMIF(SmtRes!AQ33:'SmtRes'!AQ39,"=1",SmtRes!AA33:'SmtRes'!AA39)</f>
        <v>246.38</v>
      </c>
      <c r="CR37">
        <f>SUMIF(SmtRes!AQ33:'SmtRes'!AQ39,"=1",SmtRes!AB33:'SmtRes'!AB39)</f>
        <v>700.76</v>
      </c>
      <c r="CS37">
        <f>SUMIF(SmtRes!AQ33:'SmtRes'!AQ39,"=1",SmtRes!AC33:'SmtRes'!AC39)</f>
        <v>1363.27</v>
      </c>
      <c r="CT37">
        <f>SUMIF(SmtRes!AQ33:'SmtRes'!AQ39,"=1",SmtRes!AD33:'SmtRes'!AD39)</f>
        <v>665.47</v>
      </c>
      <c r="CU37">
        <f t="shared" si="30"/>
        <v>0</v>
      </c>
      <c r="CV37">
        <f>SUMIF(SmtRes!AQ33:'SmtRes'!AQ39,"=1",SmtRes!BU33:'SmtRes'!BU39)</f>
        <v>74.290000000000006</v>
      </c>
      <c r="CW37">
        <f>SUMIF(SmtRes!AQ33:'SmtRes'!AQ39,"=1",SmtRes!BV33:'SmtRes'!BV39)</f>
        <v>0.05</v>
      </c>
      <c r="CX37">
        <f t="shared" si="31"/>
        <v>0</v>
      </c>
      <c r="CY37">
        <f t="shared" si="40"/>
        <v>248.89500000000001</v>
      </c>
      <c r="CZ37">
        <f t="shared" si="41"/>
        <v>115.183075</v>
      </c>
      <c r="DB37">
        <v>1</v>
      </c>
      <c r="DC37" t="s">
        <v>332</v>
      </c>
      <c r="DD37" t="s">
        <v>332</v>
      </c>
      <c r="DE37" t="s">
        <v>401</v>
      </c>
      <c r="DF37" t="s">
        <v>401</v>
      </c>
      <c r="DG37" t="s">
        <v>402</v>
      </c>
      <c r="DH37" t="s">
        <v>332</v>
      </c>
      <c r="DI37" t="s">
        <v>402</v>
      </c>
      <c r="DJ37" t="s">
        <v>401</v>
      </c>
      <c r="DK37" t="s">
        <v>332</v>
      </c>
      <c r="DL37" t="s">
        <v>389</v>
      </c>
      <c r="DM37" t="s">
        <v>390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347</v>
      </c>
      <c r="DW37" t="s">
        <v>347</v>
      </c>
      <c r="DX37">
        <v>100</v>
      </c>
      <c r="DZ37" t="s">
        <v>332</v>
      </c>
      <c r="EA37" t="s">
        <v>332</v>
      </c>
      <c r="EB37" t="s">
        <v>332</v>
      </c>
      <c r="EC37" t="s">
        <v>332</v>
      </c>
      <c r="EE37">
        <v>77313118</v>
      </c>
      <c r="EF37">
        <v>2</v>
      </c>
      <c r="EG37" t="s">
        <v>391</v>
      </c>
      <c r="EH37">
        <v>15</v>
      </c>
      <c r="EI37" t="s">
        <v>403</v>
      </c>
      <c r="EJ37">
        <v>1</v>
      </c>
      <c r="EK37">
        <v>15001</v>
      </c>
      <c r="EL37" t="s">
        <v>403</v>
      </c>
      <c r="EM37" t="s">
        <v>404</v>
      </c>
      <c r="EO37" t="s">
        <v>395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64.599999999999994</v>
      </c>
      <c r="EX37">
        <v>0.04</v>
      </c>
      <c r="EY37">
        <v>0</v>
      </c>
      <c r="FQ37">
        <v>0</v>
      </c>
      <c r="FR37">
        <v>0</v>
      </c>
      <c r="FS37">
        <v>0</v>
      </c>
      <c r="FX37">
        <v>90</v>
      </c>
      <c r="FY37">
        <v>41.65</v>
      </c>
      <c r="GA37" t="s">
        <v>332</v>
      </c>
      <c r="GD37">
        <v>1</v>
      </c>
      <c r="GF37">
        <v>-581814919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32"/>
        <v>0</v>
      </c>
      <c r="GM37">
        <f t="shared" si="33"/>
        <v>643.30999999999995</v>
      </c>
      <c r="GN37">
        <f t="shared" si="34"/>
        <v>643.30999999999995</v>
      </c>
      <c r="GO37">
        <f t="shared" si="35"/>
        <v>0</v>
      </c>
      <c r="GP37">
        <f t="shared" si="36"/>
        <v>0</v>
      </c>
      <c r="GR37">
        <v>0</v>
      </c>
      <c r="GS37">
        <v>3</v>
      </c>
      <c r="GT37">
        <v>0</v>
      </c>
      <c r="GU37" t="s">
        <v>332</v>
      </c>
      <c r="GV37">
        <f t="shared" si="37"/>
        <v>0</v>
      </c>
      <c r="GW37">
        <v>1</v>
      </c>
      <c r="GX37">
        <f t="shared" si="38"/>
        <v>0</v>
      </c>
      <c r="HA37">
        <v>0</v>
      </c>
      <c r="HB37">
        <v>0</v>
      </c>
      <c r="HC37">
        <f t="shared" si="39"/>
        <v>0</v>
      </c>
      <c r="HE37" t="s">
        <v>332</v>
      </c>
      <c r="HF37" t="s">
        <v>332</v>
      </c>
      <c r="HM37" t="s">
        <v>332</v>
      </c>
      <c r="HN37" t="s">
        <v>405</v>
      </c>
      <c r="HO37" t="s">
        <v>406</v>
      </c>
      <c r="HP37" t="s">
        <v>403</v>
      </c>
      <c r="HQ37" t="s">
        <v>403</v>
      </c>
      <c r="HS37">
        <v>0</v>
      </c>
      <c r="IK37">
        <v>0</v>
      </c>
    </row>
    <row r="38" spans="1:245" x14ac:dyDescent="0.25">
      <c r="A38">
        <v>18</v>
      </c>
      <c r="B38">
        <v>1</v>
      </c>
      <c r="C38">
        <v>38</v>
      </c>
      <c r="E38" t="s">
        <v>407</v>
      </c>
      <c r="F38" t="s">
        <v>408</v>
      </c>
      <c r="G38" t="s">
        <v>409</v>
      </c>
      <c r="H38" t="s">
        <v>87</v>
      </c>
      <c r="I38">
        <f>I37*J38</f>
        <v>1.3750000000000009E-4</v>
      </c>
      <c r="J38">
        <v>2.4597495527728101E-2</v>
      </c>
      <c r="K38">
        <v>2.46E-2</v>
      </c>
      <c r="O38">
        <f t="shared" si="21"/>
        <v>11.9</v>
      </c>
      <c r="P38">
        <f>ROUND(CQ38*I38,2)</f>
        <v>11.9</v>
      </c>
      <c r="Q38">
        <f>ROUND(CR38*I38,2)</f>
        <v>0</v>
      </c>
      <c r="R38">
        <f>ROUND(CS38*I38,2)</f>
        <v>0</v>
      </c>
      <c r="S38">
        <f>ROUND(CT38*I38,2)</f>
        <v>0</v>
      </c>
      <c r="T38">
        <f t="shared" si="22"/>
        <v>0</v>
      </c>
      <c r="U38">
        <f>ROUND(CV38*I38,7)</f>
        <v>0</v>
      </c>
      <c r="V38">
        <f>ROUND(CW38*I38,7)</f>
        <v>0</v>
      </c>
      <c r="W38">
        <f t="shared" si="23"/>
        <v>0</v>
      </c>
      <c r="X38">
        <f t="shared" si="24"/>
        <v>0</v>
      </c>
      <c r="Y38">
        <f t="shared" si="25"/>
        <v>0</v>
      </c>
      <c r="AA38">
        <v>78397139</v>
      </c>
      <c r="AB38">
        <f t="shared" si="26"/>
        <v>61813.88</v>
      </c>
      <c r="AC38">
        <f>ROUND((ES38),6)</f>
        <v>61813.88</v>
      </c>
      <c r="AD38">
        <f>ROUND((((ET38)-(EU38))+AE38),6)</f>
        <v>0</v>
      </c>
      <c r="AE38">
        <f>ROUND((EU38),6)</f>
        <v>0</v>
      </c>
      <c r="AF38">
        <f>ROUND((EV38),6)</f>
        <v>0</v>
      </c>
      <c r="AG38">
        <f t="shared" si="27"/>
        <v>0</v>
      </c>
      <c r="AH38">
        <f>(EW38)</f>
        <v>0</v>
      </c>
      <c r="AI38">
        <f>(EX38)</f>
        <v>0</v>
      </c>
      <c r="AJ38">
        <f t="shared" si="28"/>
        <v>0</v>
      </c>
      <c r="AK38">
        <v>61813.88</v>
      </c>
      <c r="AL38">
        <v>61813.88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100</v>
      </c>
      <c r="AU38">
        <v>49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1.4</v>
      </c>
      <c r="BD38" t="s">
        <v>332</v>
      </c>
      <c r="BE38" t="s">
        <v>332</v>
      </c>
      <c r="BF38" t="s">
        <v>332</v>
      </c>
      <c r="BG38" t="s">
        <v>332</v>
      </c>
      <c r="BH38">
        <v>3</v>
      </c>
      <c r="BI38">
        <v>1</v>
      </c>
      <c r="BJ38" t="s">
        <v>410</v>
      </c>
      <c r="BM38">
        <v>15001</v>
      </c>
      <c r="BN38">
        <v>0</v>
      </c>
      <c r="BO38" t="s">
        <v>408</v>
      </c>
      <c r="BP38">
        <v>1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332</v>
      </c>
      <c r="BZ38">
        <v>100</v>
      </c>
      <c r="CA38">
        <v>49</v>
      </c>
      <c r="CB38" t="s">
        <v>332</v>
      </c>
      <c r="CE38">
        <v>0</v>
      </c>
      <c r="CF38">
        <v>0</v>
      </c>
      <c r="CG38">
        <v>0</v>
      </c>
      <c r="CM38">
        <v>0</v>
      </c>
      <c r="CN38" t="s">
        <v>332</v>
      </c>
      <c r="CO38">
        <v>0</v>
      </c>
      <c r="CP38">
        <f t="shared" si="29"/>
        <v>11.9</v>
      </c>
      <c r="CQ38">
        <f>ROUND(AL38*BC38,2)</f>
        <v>86539.43</v>
      </c>
      <c r="CR38">
        <f>ROUND(AM38*BB38,2)</f>
        <v>0</v>
      </c>
      <c r="CS38">
        <f>ROUND(AN38*BS38,2)</f>
        <v>0</v>
      </c>
      <c r="CT38">
        <f>ROUND(AO38*BA38,2)</f>
        <v>0</v>
      </c>
      <c r="CU38">
        <f t="shared" si="30"/>
        <v>0</v>
      </c>
      <c r="CV38">
        <f>AH38</f>
        <v>0</v>
      </c>
      <c r="CW38">
        <f>AI38</f>
        <v>0</v>
      </c>
      <c r="CX38">
        <f t="shared" si="31"/>
        <v>0</v>
      </c>
      <c r="CY38">
        <f t="shared" si="40"/>
        <v>0</v>
      </c>
      <c r="CZ38">
        <f t="shared" si="41"/>
        <v>0</v>
      </c>
      <c r="DC38" t="s">
        <v>332</v>
      </c>
      <c r="DD38" t="s">
        <v>332</v>
      </c>
      <c r="DE38" t="s">
        <v>332</v>
      </c>
      <c r="DF38" t="s">
        <v>332</v>
      </c>
      <c r="DG38" t="s">
        <v>332</v>
      </c>
      <c r="DH38" t="s">
        <v>332</v>
      </c>
      <c r="DI38" t="s">
        <v>332</v>
      </c>
      <c r="DJ38" t="s">
        <v>332</v>
      </c>
      <c r="DK38" t="s">
        <v>332</v>
      </c>
      <c r="DL38" t="s">
        <v>332</v>
      </c>
      <c r="DM38" t="s">
        <v>332</v>
      </c>
      <c r="DN38">
        <v>0</v>
      </c>
      <c r="DO38">
        <v>0</v>
      </c>
      <c r="DP38">
        <v>1</v>
      </c>
      <c r="DQ38">
        <v>1</v>
      </c>
      <c r="DU38">
        <v>1009</v>
      </c>
      <c r="DV38" t="s">
        <v>87</v>
      </c>
      <c r="DW38" t="s">
        <v>87</v>
      </c>
      <c r="DX38">
        <v>1000</v>
      </c>
      <c r="DZ38" t="s">
        <v>332</v>
      </c>
      <c r="EA38" t="s">
        <v>332</v>
      </c>
      <c r="EB38" t="s">
        <v>332</v>
      </c>
      <c r="EC38" t="s">
        <v>332</v>
      </c>
      <c r="EE38">
        <v>77313118</v>
      </c>
      <c r="EF38">
        <v>2</v>
      </c>
      <c r="EG38" t="s">
        <v>391</v>
      </c>
      <c r="EH38">
        <v>15</v>
      </c>
      <c r="EI38" t="s">
        <v>403</v>
      </c>
      <c r="EJ38">
        <v>1</v>
      </c>
      <c r="EK38">
        <v>15001</v>
      </c>
      <c r="EL38" t="s">
        <v>403</v>
      </c>
      <c r="EM38" t="s">
        <v>404</v>
      </c>
      <c r="EO38" t="s">
        <v>332</v>
      </c>
      <c r="EQ38">
        <v>0</v>
      </c>
      <c r="ER38">
        <v>61813.88</v>
      </c>
      <c r="ES38">
        <v>61813.88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v>0</v>
      </c>
      <c r="FS38">
        <v>0</v>
      </c>
      <c r="FX38">
        <v>100</v>
      </c>
      <c r="FY38">
        <v>49</v>
      </c>
      <c r="GA38" t="s">
        <v>332</v>
      </c>
      <c r="GD38">
        <v>1</v>
      </c>
      <c r="GF38">
        <v>-2053071529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32"/>
        <v>0</v>
      </c>
      <c r="GM38">
        <f t="shared" si="33"/>
        <v>11.9</v>
      </c>
      <c r="GN38">
        <f t="shared" si="34"/>
        <v>11.9</v>
      </c>
      <c r="GO38">
        <f t="shared" si="35"/>
        <v>0</v>
      </c>
      <c r="GP38">
        <f t="shared" si="36"/>
        <v>0</v>
      </c>
      <c r="GR38">
        <v>0</v>
      </c>
      <c r="GS38">
        <v>0</v>
      </c>
      <c r="GT38">
        <v>0</v>
      </c>
      <c r="GU38" t="s">
        <v>332</v>
      </c>
      <c r="GV38">
        <f t="shared" si="37"/>
        <v>0</v>
      </c>
      <c r="GW38">
        <v>1</v>
      </c>
      <c r="GX38">
        <f t="shared" si="38"/>
        <v>0</v>
      </c>
      <c r="HA38">
        <v>0</v>
      </c>
      <c r="HB38">
        <v>0</v>
      </c>
      <c r="HC38">
        <f t="shared" si="39"/>
        <v>0</v>
      </c>
      <c r="HE38" t="s">
        <v>332</v>
      </c>
      <c r="HF38" t="s">
        <v>332</v>
      </c>
      <c r="HM38" t="s">
        <v>332</v>
      </c>
      <c r="HN38" t="s">
        <v>405</v>
      </c>
      <c r="HO38" t="s">
        <v>406</v>
      </c>
      <c r="HP38" t="s">
        <v>403</v>
      </c>
      <c r="HQ38" t="s">
        <v>403</v>
      </c>
      <c r="HS38">
        <v>0</v>
      </c>
      <c r="IK38">
        <v>0</v>
      </c>
    </row>
    <row r="39" spans="1:245" x14ac:dyDescent="0.25">
      <c r="A39">
        <v>17</v>
      </c>
      <c r="B39">
        <v>1</v>
      </c>
      <c r="C39">
        <f>ROW(SmtRes!A49)</f>
        <v>49</v>
      </c>
      <c r="D39">
        <f>ROW(EtalonRes!A50)</f>
        <v>50</v>
      </c>
      <c r="E39" t="s">
        <v>150</v>
      </c>
      <c r="F39" t="s">
        <v>411</v>
      </c>
      <c r="G39" t="s">
        <v>412</v>
      </c>
      <c r="H39" t="s">
        <v>104</v>
      </c>
      <c r="I39">
        <v>0.02</v>
      </c>
      <c r="J39">
        <v>0</v>
      </c>
      <c r="K39">
        <v>0.02</v>
      </c>
      <c r="O39">
        <f t="shared" si="21"/>
        <v>389.29</v>
      </c>
      <c r="P39">
        <f>SUMIF(SmtRes!AQ40:'SmtRes'!AQ49,"=1",SmtRes!DF40:'SmtRes'!DF49)</f>
        <v>83.06</v>
      </c>
      <c r="Q39">
        <f>SUMIF(SmtRes!AQ40:'SmtRes'!AQ49,"=1",SmtRes!DG40:'SmtRes'!DG49)</f>
        <v>6.87</v>
      </c>
      <c r="R39">
        <f>SUMIF(SmtRes!AQ40:'SmtRes'!AQ49,"=1",SmtRes!DH40:'SmtRes'!DH49)</f>
        <v>6.68</v>
      </c>
      <c r="S39">
        <f>SUMIF(SmtRes!AQ40:'SmtRes'!AQ49,"=1",SmtRes!DI40:'SmtRes'!DI49)</f>
        <v>292.68</v>
      </c>
      <c r="T39">
        <f t="shared" si="22"/>
        <v>0</v>
      </c>
      <c r="U39">
        <f>SUMIF(SmtRes!AQ40:'SmtRes'!AQ49,"=1",SmtRes!CV40:'SmtRes'!CV49)</f>
        <v>0.42435</v>
      </c>
      <c r="V39">
        <f>SUMIF(SmtRes!AQ40:'SmtRes'!AQ49,"=1",SmtRes!CW40:'SmtRes'!CW49)</f>
        <v>9.2499999999999995E-3</v>
      </c>
      <c r="W39">
        <f t="shared" si="23"/>
        <v>0</v>
      </c>
      <c r="X39">
        <f t="shared" si="24"/>
        <v>261.33999999999997</v>
      </c>
      <c r="Y39">
        <f t="shared" si="25"/>
        <v>139.94999999999999</v>
      </c>
      <c r="AA39">
        <v>78397139</v>
      </c>
      <c r="AB39">
        <f t="shared" si="26"/>
        <v>19385.644443000001</v>
      </c>
      <c r="AC39">
        <f>ROUND((SUM(SmtRes!BQ40:'SmtRes'!BQ49)),6)</f>
        <v>4422.4384680000003</v>
      </c>
      <c r="AD39">
        <f>ROUND((((SUM(SmtRes!BR40:'SmtRes'!BR49))-(SUM(SmtRes!BS40:'SmtRes'!BS49)))+AE39),6)</f>
        <v>329.07187499999998</v>
      </c>
      <c r="AE39">
        <f>ROUND((SUM(SmtRes!BS40:'SmtRes'!BS49)),6)</f>
        <v>333.948125</v>
      </c>
      <c r="AF39">
        <f>ROUND((SUM(SmtRes!BT40:'SmtRes'!BT49)),6)</f>
        <v>14634.134099999999</v>
      </c>
      <c r="AG39">
        <f t="shared" si="27"/>
        <v>0</v>
      </c>
      <c r="AH39">
        <f>(SUM(SmtRes!BU40:'SmtRes'!BU49))</f>
        <v>21.217500000000001</v>
      </c>
      <c r="AI39">
        <f>(SUM(SmtRes!BV40:'SmtRes'!BV49))</f>
        <v>0.46250000000000002</v>
      </c>
      <c r="AJ39">
        <f t="shared" si="28"/>
        <v>0</v>
      </c>
      <c r="AK39">
        <v>17678.188468</v>
      </c>
      <c r="AL39">
        <v>4422.4384680000003</v>
      </c>
      <c r="AM39">
        <v>263.25749999999999</v>
      </c>
      <c r="AN39">
        <v>267.1585</v>
      </c>
      <c r="AO39">
        <v>12725.334000000001</v>
      </c>
      <c r="AP39">
        <v>0</v>
      </c>
      <c r="AQ39">
        <v>18.45</v>
      </c>
      <c r="AR39">
        <v>0.37</v>
      </c>
      <c r="AS39">
        <v>0</v>
      </c>
      <c r="AT39">
        <v>87.3</v>
      </c>
      <c r="AU39">
        <v>46.75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332</v>
      </c>
      <c r="BE39" t="s">
        <v>332</v>
      </c>
      <c r="BF39" t="s">
        <v>332</v>
      </c>
      <c r="BG39" t="s">
        <v>332</v>
      </c>
      <c r="BH39">
        <v>0</v>
      </c>
      <c r="BI39">
        <v>1</v>
      </c>
      <c r="BJ39" t="s">
        <v>413</v>
      </c>
      <c r="BM39">
        <v>26001</v>
      </c>
      <c r="BN39">
        <v>0</v>
      </c>
      <c r="BO39" t="s">
        <v>332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332</v>
      </c>
      <c r="BZ39">
        <v>97</v>
      </c>
      <c r="CA39">
        <v>55</v>
      </c>
      <c r="CB39" t="s">
        <v>332</v>
      </c>
      <c r="CE39">
        <v>0</v>
      </c>
      <c r="CF39">
        <v>0</v>
      </c>
      <c r="CG39">
        <v>0</v>
      </c>
      <c r="CM39">
        <v>0</v>
      </c>
      <c r="CN39" t="s">
        <v>385</v>
      </c>
      <c r="CO39">
        <v>0</v>
      </c>
      <c r="CP39">
        <f t="shared" si="29"/>
        <v>389.29</v>
      </c>
      <c r="CQ39">
        <f>SUMIF(SmtRes!AQ40:'SmtRes'!AQ49,"=1",SmtRes!AA40:'SmtRes'!AA49)</f>
        <v>685793.04999999993</v>
      </c>
      <c r="CR39">
        <f>SUMIF(SmtRes!AQ40:'SmtRes'!AQ49,"=1",SmtRes!AB40:'SmtRes'!AB49)</f>
        <v>674.31</v>
      </c>
      <c r="CS39">
        <f>SUMIF(SmtRes!AQ40:'SmtRes'!AQ49,"=1",SmtRes!AC40:'SmtRes'!AC49)</f>
        <v>722.05</v>
      </c>
      <c r="CT39">
        <f>SUMIF(SmtRes!AQ40:'SmtRes'!AQ49,"=1",SmtRes!AD40:'SmtRes'!AD49)</f>
        <v>689.72</v>
      </c>
      <c r="CU39">
        <f t="shared" si="30"/>
        <v>0</v>
      </c>
      <c r="CV39">
        <f>SUMIF(SmtRes!AQ40:'SmtRes'!AQ49,"=1",SmtRes!BU40:'SmtRes'!BU49)</f>
        <v>21.217500000000001</v>
      </c>
      <c r="CW39">
        <f>SUMIF(SmtRes!AQ40:'SmtRes'!AQ49,"=1",SmtRes!BV40:'SmtRes'!BV49)</f>
        <v>0.46250000000000002</v>
      </c>
      <c r="CX39">
        <f t="shared" si="31"/>
        <v>0</v>
      </c>
      <c r="CY39">
        <f t="shared" si="40"/>
        <v>261.34127999999998</v>
      </c>
      <c r="CZ39">
        <f t="shared" si="41"/>
        <v>139.95079999999999</v>
      </c>
      <c r="DB39">
        <v>2</v>
      </c>
      <c r="DC39" t="s">
        <v>332</v>
      </c>
      <c r="DD39" t="s">
        <v>332</v>
      </c>
      <c r="DE39" t="s">
        <v>401</v>
      </c>
      <c r="DF39" t="s">
        <v>401</v>
      </c>
      <c r="DG39" t="s">
        <v>402</v>
      </c>
      <c r="DH39" t="s">
        <v>332</v>
      </c>
      <c r="DI39" t="s">
        <v>402</v>
      </c>
      <c r="DJ39" t="s">
        <v>401</v>
      </c>
      <c r="DK39" t="s">
        <v>332</v>
      </c>
      <c r="DL39" t="s">
        <v>389</v>
      </c>
      <c r="DM39" t="s">
        <v>390</v>
      </c>
      <c r="DN39">
        <v>0</v>
      </c>
      <c r="DO39">
        <v>0</v>
      </c>
      <c r="DP39">
        <v>1</v>
      </c>
      <c r="DQ39">
        <v>1</v>
      </c>
      <c r="DU39">
        <v>1007</v>
      </c>
      <c r="DV39" t="s">
        <v>104</v>
      </c>
      <c r="DW39" t="s">
        <v>104</v>
      </c>
      <c r="DX39">
        <v>1</v>
      </c>
      <c r="DZ39" t="s">
        <v>332</v>
      </c>
      <c r="EA39" t="s">
        <v>332</v>
      </c>
      <c r="EB39" t="s">
        <v>332</v>
      </c>
      <c r="EC39" t="s">
        <v>332</v>
      </c>
      <c r="EE39">
        <v>77313132</v>
      </c>
      <c r="EF39">
        <v>2</v>
      </c>
      <c r="EG39" t="s">
        <v>391</v>
      </c>
      <c r="EH39">
        <v>20</v>
      </c>
      <c r="EI39" t="s">
        <v>414</v>
      </c>
      <c r="EJ39">
        <v>1</v>
      </c>
      <c r="EK39">
        <v>26001</v>
      </c>
      <c r="EL39" t="s">
        <v>414</v>
      </c>
      <c r="EM39" t="s">
        <v>415</v>
      </c>
      <c r="EO39" t="s">
        <v>395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18.45</v>
      </c>
      <c r="EX39">
        <v>0.37</v>
      </c>
      <c r="EY39">
        <v>0</v>
      </c>
      <c r="FQ39">
        <v>0</v>
      </c>
      <c r="FR39">
        <v>0</v>
      </c>
      <c r="FS39">
        <v>0</v>
      </c>
      <c r="FX39">
        <v>87.3</v>
      </c>
      <c r="FY39">
        <v>46.75</v>
      </c>
      <c r="GA39" t="s">
        <v>332</v>
      </c>
      <c r="GD39">
        <v>1</v>
      </c>
      <c r="GF39">
        <v>364370599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2"/>
        <v>0</v>
      </c>
      <c r="GM39">
        <f t="shared" si="33"/>
        <v>790.58</v>
      </c>
      <c r="GN39">
        <f t="shared" si="34"/>
        <v>790.58</v>
      </c>
      <c r="GO39">
        <f t="shared" si="35"/>
        <v>0</v>
      </c>
      <c r="GP39">
        <f t="shared" si="36"/>
        <v>0</v>
      </c>
      <c r="GR39">
        <v>0</v>
      </c>
      <c r="GS39">
        <v>3</v>
      </c>
      <c r="GT39">
        <v>0</v>
      </c>
      <c r="GU39" t="s">
        <v>332</v>
      </c>
      <c r="GV39">
        <f t="shared" si="37"/>
        <v>0</v>
      </c>
      <c r="GW39">
        <v>1</v>
      </c>
      <c r="GX39">
        <f t="shared" si="38"/>
        <v>0</v>
      </c>
      <c r="HA39">
        <v>0</v>
      </c>
      <c r="HB39">
        <v>0</v>
      </c>
      <c r="HC39">
        <f t="shared" si="39"/>
        <v>0</v>
      </c>
      <c r="HE39" t="s">
        <v>332</v>
      </c>
      <c r="HF39" t="s">
        <v>332</v>
      </c>
      <c r="HM39" t="s">
        <v>332</v>
      </c>
      <c r="HN39" t="s">
        <v>416</v>
      </c>
      <c r="HO39" t="s">
        <v>417</v>
      </c>
      <c r="HP39" t="s">
        <v>414</v>
      </c>
      <c r="HQ39" t="s">
        <v>414</v>
      </c>
      <c r="HS39">
        <v>0</v>
      </c>
      <c r="IK39">
        <v>0</v>
      </c>
    </row>
    <row r="40" spans="1:245" x14ac:dyDescent="0.25">
      <c r="A40">
        <v>18</v>
      </c>
      <c r="B40">
        <v>1</v>
      </c>
      <c r="C40">
        <v>49</v>
      </c>
      <c r="E40" t="s">
        <v>418</v>
      </c>
      <c r="F40" t="s">
        <v>419</v>
      </c>
      <c r="G40" t="s">
        <v>420</v>
      </c>
      <c r="H40" t="s">
        <v>69</v>
      </c>
      <c r="I40">
        <f>I39*J40</f>
        <v>2.06</v>
      </c>
      <c r="J40">
        <v>103</v>
      </c>
      <c r="K40">
        <v>103</v>
      </c>
      <c r="O40">
        <f t="shared" si="21"/>
        <v>1047.74</v>
      </c>
      <c r="P40">
        <f>ROUND(CQ40*I40,2)</f>
        <v>1047.74</v>
      </c>
      <c r="Q40">
        <f>ROUND(CR40*I40,2)</f>
        <v>0</v>
      </c>
      <c r="R40">
        <f>ROUND(CS40*I40,2)</f>
        <v>0</v>
      </c>
      <c r="S40">
        <f>ROUND(CT40*I40,2)</f>
        <v>0</v>
      </c>
      <c r="T40">
        <f t="shared" si="22"/>
        <v>0</v>
      </c>
      <c r="U40">
        <f>ROUND(CV40*I40,7)</f>
        <v>0</v>
      </c>
      <c r="V40">
        <f>ROUND(CW40*I40,7)</f>
        <v>0</v>
      </c>
      <c r="W40">
        <f t="shared" si="23"/>
        <v>0</v>
      </c>
      <c r="X40">
        <f t="shared" si="24"/>
        <v>0</v>
      </c>
      <c r="Y40">
        <f t="shared" si="25"/>
        <v>0</v>
      </c>
      <c r="AA40">
        <v>78397139</v>
      </c>
      <c r="AB40">
        <f t="shared" si="26"/>
        <v>368.56</v>
      </c>
      <c r="AC40">
        <f>ROUND((ES40),6)</f>
        <v>368.56</v>
      </c>
      <c r="AD40">
        <f>ROUND((((ET40)-(EU40))+AE40),6)</f>
        <v>0</v>
      </c>
      <c r="AE40">
        <f>ROUND((EU40),6)</f>
        <v>0</v>
      </c>
      <c r="AF40">
        <f>ROUND((EV40),6)</f>
        <v>0</v>
      </c>
      <c r="AG40">
        <f t="shared" si="27"/>
        <v>0</v>
      </c>
      <c r="AH40">
        <f>(EW40)</f>
        <v>0</v>
      </c>
      <c r="AI40">
        <f>(EX40)</f>
        <v>0</v>
      </c>
      <c r="AJ40">
        <f t="shared" si="28"/>
        <v>0</v>
      </c>
      <c r="AK40">
        <v>368.56</v>
      </c>
      <c r="AL40">
        <v>368.56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97</v>
      </c>
      <c r="AU40">
        <v>55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1.38</v>
      </c>
      <c r="BD40" t="s">
        <v>332</v>
      </c>
      <c r="BE40" t="s">
        <v>332</v>
      </c>
      <c r="BF40" t="s">
        <v>332</v>
      </c>
      <c r="BG40" t="s">
        <v>332</v>
      </c>
      <c r="BH40">
        <v>3</v>
      </c>
      <c r="BI40">
        <v>1</v>
      </c>
      <c r="BJ40" t="s">
        <v>421</v>
      </c>
      <c r="BM40">
        <v>26001</v>
      </c>
      <c r="BN40">
        <v>0</v>
      </c>
      <c r="BO40" t="s">
        <v>419</v>
      </c>
      <c r="BP40">
        <v>1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332</v>
      </c>
      <c r="BZ40">
        <v>97</v>
      </c>
      <c r="CA40">
        <v>55</v>
      </c>
      <c r="CB40" t="s">
        <v>332</v>
      </c>
      <c r="CE40">
        <v>0</v>
      </c>
      <c r="CF40">
        <v>0</v>
      </c>
      <c r="CG40">
        <v>0</v>
      </c>
      <c r="CM40">
        <v>0</v>
      </c>
      <c r="CN40" t="s">
        <v>332</v>
      </c>
      <c r="CO40">
        <v>0</v>
      </c>
      <c r="CP40">
        <f t="shared" si="29"/>
        <v>1047.74</v>
      </c>
      <c r="CQ40">
        <f>ROUND(AL40*BC40,2)</f>
        <v>508.61</v>
      </c>
      <c r="CR40">
        <f>ROUND(AM40*BB40,2)</f>
        <v>0</v>
      </c>
      <c r="CS40">
        <f>ROUND(AN40*BS40,2)</f>
        <v>0</v>
      </c>
      <c r="CT40">
        <f>ROUND(AO40*BA40,2)</f>
        <v>0</v>
      </c>
      <c r="CU40">
        <f t="shared" si="30"/>
        <v>0</v>
      </c>
      <c r="CV40">
        <f>AH40</f>
        <v>0</v>
      </c>
      <c r="CW40">
        <f>AI40</f>
        <v>0</v>
      </c>
      <c r="CX40">
        <f t="shared" si="31"/>
        <v>0</v>
      </c>
      <c r="CY40">
        <f t="shared" si="40"/>
        <v>0</v>
      </c>
      <c r="CZ40">
        <f t="shared" si="41"/>
        <v>0</v>
      </c>
      <c r="DC40" t="s">
        <v>332</v>
      </c>
      <c r="DD40" t="s">
        <v>332</v>
      </c>
      <c r="DE40" t="s">
        <v>332</v>
      </c>
      <c r="DF40" t="s">
        <v>332</v>
      </c>
      <c r="DG40" t="s">
        <v>332</v>
      </c>
      <c r="DH40" t="s">
        <v>332</v>
      </c>
      <c r="DI40" t="s">
        <v>332</v>
      </c>
      <c r="DJ40" t="s">
        <v>332</v>
      </c>
      <c r="DK40" t="s">
        <v>332</v>
      </c>
      <c r="DL40" t="s">
        <v>332</v>
      </c>
      <c r="DM40" t="s">
        <v>332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69</v>
      </c>
      <c r="DW40" t="s">
        <v>69</v>
      </c>
      <c r="DX40">
        <v>1</v>
      </c>
      <c r="DZ40" t="s">
        <v>332</v>
      </c>
      <c r="EA40" t="s">
        <v>332</v>
      </c>
      <c r="EB40" t="s">
        <v>332</v>
      </c>
      <c r="EC40" t="s">
        <v>332</v>
      </c>
      <c r="EE40">
        <v>77313132</v>
      </c>
      <c r="EF40">
        <v>2</v>
      </c>
      <c r="EG40" t="s">
        <v>391</v>
      </c>
      <c r="EH40">
        <v>20</v>
      </c>
      <c r="EI40" t="s">
        <v>414</v>
      </c>
      <c r="EJ40">
        <v>1</v>
      </c>
      <c r="EK40">
        <v>26001</v>
      </c>
      <c r="EL40" t="s">
        <v>414</v>
      </c>
      <c r="EM40" t="s">
        <v>415</v>
      </c>
      <c r="EO40" t="s">
        <v>332</v>
      </c>
      <c r="EQ40">
        <v>0</v>
      </c>
      <c r="ER40">
        <v>368.56</v>
      </c>
      <c r="ES40">
        <v>368.56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97</v>
      </c>
      <c r="FY40">
        <v>55</v>
      </c>
      <c r="GA40" t="s">
        <v>332</v>
      </c>
      <c r="GD40">
        <v>1</v>
      </c>
      <c r="GF40">
        <v>-1173505752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32"/>
        <v>0</v>
      </c>
      <c r="GM40">
        <f t="shared" si="33"/>
        <v>1047.74</v>
      </c>
      <c r="GN40">
        <f t="shared" si="34"/>
        <v>1047.74</v>
      </c>
      <c r="GO40">
        <f t="shared" si="35"/>
        <v>0</v>
      </c>
      <c r="GP40">
        <f t="shared" si="36"/>
        <v>0</v>
      </c>
      <c r="GR40">
        <v>0</v>
      </c>
      <c r="GS40">
        <v>3</v>
      </c>
      <c r="GT40">
        <v>0</v>
      </c>
      <c r="GU40" t="s">
        <v>332</v>
      </c>
      <c r="GV40">
        <f t="shared" si="37"/>
        <v>0</v>
      </c>
      <c r="GW40">
        <v>1</v>
      </c>
      <c r="GX40">
        <f t="shared" si="38"/>
        <v>0</v>
      </c>
      <c r="HA40">
        <v>0</v>
      </c>
      <c r="HB40">
        <v>0</v>
      </c>
      <c r="HC40">
        <f t="shared" si="39"/>
        <v>0</v>
      </c>
      <c r="HE40" t="s">
        <v>332</v>
      </c>
      <c r="HF40" t="s">
        <v>332</v>
      </c>
      <c r="HM40" t="s">
        <v>332</v>
      </c>
      <c r="HN40" t="s">
        <v>416</v>
      </c>
      <c r="HO40" t="s">
        <v>417</v>
      </c>
      <c r="HP40" t="s">
        <v>414</v>
      </c>
      <c r="HQ40" t="s">
        <v>414</v>
      </c>
      <c r="HS40">
        <v>0</v>
      </c>
      <c r="IK40">
        <v>0</v>
      </c>
    </row>
    <row r="42" spans="1:245" x14ac:dyDescent="0.25">
      <c r="A42" s="7">
        <v>51</v>
      </c>
      <c r="B42" s="7">
        <f>B24</f>
        <v>1</v>
      </c>
      <c r="C42" s="7">
        <f>A24</f>
        <v>4</v>
      </c>
      <c r="D42" s="7">
        <f>ROW(A24)</f>
        <v>24</v>
      </c>
      <c r="E42" s="7"/>
      <c r="F42" s="7" t="str">
        <f>IF(F24&lt;&gt;"",F24,"")</f>
        <v>Новый раздел</v>
      </c>
      <c r="G42" s="7" t="str">
        <f>IF(G24&lt;&gt;"",G24,"")</f>
        <v>Работа 1</v>
      </c>
      <c r="H42" s="7">
        <v>0</v>
      </c>
      <c r="I42" s="7"/>
      <c r="J42" s="7"/>
      <c r="K42" s="7"/>
      <c r="L42" s="7"/>
      <c r="M42" s="7"/>
      <c r="N42" s="7"/>
      <c r="O42" s="7">
        <f t="shared" ref="O42:T42" si="42">ROUND(AB42,2)</f>
        <v>22169.58</v>
      </c>
      <c r="P42" s="7">
        <f t="shared" si="42"/>
        <v>15873.22</v>
      </c>
      <c r="Q42" s="7">
        <f t="shared" si="42"/>
        <v>57.17</v>
      </c>
      <c r="R42" s="7">
        <f t="shared" si="42"/>
        <v>47.53</v>
      </c>
      <c r="S42" s="7">
        <f t="shared" si="42"/>
        <v>6191.66</v>
      </c>
      <c r="T42" s="7">
        <f t="shared" si="42"/>
        <v>0</v>
      </c>
      <c r="U42" s="7">
        <f>AH42</f>
        <v>8.8695018000000001</v>
      </c>
      <c r="V42" s="7">
        <f>AI42</f>
        <v>6.6649100000000003E-2</v>
      </c>
      <c r="W42" s="7">
        <f>ROUND(AJ42,2)</f>
        <v>0</v>
      </c>
      <c r="X42" s="7">
        <f>ROUND(AK42,2)</f>
        <v>6210.53</v>
      </c>
      <c r="Y42" s="7">
        <f>ROUND(AL42,2)</f>
        <v>3129.18</v>
      </c>
      <c r="Z42" s="7"/>
      <c r="AA42" s="7"/>
      <c r="AB42" s="7">
        <f>ROUND(SUMIF(AA28:AA40,"=78397139",O28:O40),2)</f>
        <v>22169.58</v>
      </c>
      <c r="AC42" s="7">
        <f>ROUND(SUMIF(AA28:AA40,"=78397139",P28:P40),2)</f>
        <v>15873.22</v>
      </c>
      <c r="AD42" s="7">
        <f>ROUND(SUMIF(AA28:AA40,"=78397139",Q28:Q40),2)</f>
        <v>57.17</v>
      </c>
      <c r="AE42" s="7">
        <f>ROUND(SUMIF(AA28:AA40,"=78397139",R28:R40),2)</f>
        <v>47.53</v>
      </c>
      <c r="AF42" s="7">
        <f>ROUND(SUMIF(AA28:AA40,"=78397139",S28:S40),2)</f>
        <v>6191.66</v>
      </c>
      <c r="AG42" s="7">
        <f>ROUND(SUMIF(AA28:AA40,"=78397139",T28:T40),2)</f>
        <v>0</v>
      </c>
      <c r="AH42" s="7">
        <f>SUMIF(AA28:AA40,"=78397139",U28:U40)</f>
        <v>8.8695018000000001</v>
      </c>
      <c r="AI42" s="7">
        <f>SUMIF(AA28:AA40,"=78397139",V28:V40)</f>
        <v>6.6649100000000003E-2</v>
      </c>
      <c r="AJ42" s="7">
        <f>ROUND(SUMIF(AA28:AA40,"=78397139",W28:W40),2)</f>
        <v>0</v>
      </c>
      <c r="AK42" s="7">
        <f>ROUND(SUMIF(AA28:AA40,"=78397139",X28:X40),2)</f>
        <v>6210.53</v>
      </c>
      <c r="AL42" s="7">
        <f>ROUND(SUMIF(AA28:AA40,"=78397139",Y28:Y40),2)</f>
        <v>3129.18</v>
      </c>
      <c r="AM42" s="7"/>
      <c r="AN42" s="7"/>
      <c r="AO42" s="7">
        <f t="shared" ref="AO42:BD42" si="43">ROUND(BX42,2)</f>
        <v>0</v>
      </c>
      <c r="AP42" s="7">
        <f t="shared" si="43"/>
        <v>0</v>
      </c>
      <c r="AQ42" s="7">
        <f t="shared" si="43"/>
        <v>0</v>
      </c>
      <c r="AR42" s="7">
        <f t="shared" si="43"/>
        <v>31509.29</v>
      </c>
      <c r="AS42" s="7">
        <f t="shared" si="43"/>
        <v>31509.29</v>
      </c>
      <c r="AT42" s="7">
        <f t="shared" si="43"/>
        <v>0</v>
      </c>
      <c r="AU42" s="7">
        <f t="shared" si="43"/>
        <v>0</v>
      </c>
      <c r="AV42" s="7">
        <f t="shared" si="43"/>
        <v>15873.22</v>
      </c>
      <c r="AW42" s="7">
        <f t="shared" si="43"/>
        <v>15873.22</v>
      </c>
      <c r="AX42" s="7">
        <f t="shared" si="43"/>
        <v>0</v>
      </c>
      <c r="AY42" s="7">
        <f t="shared" si="43"/>
        <v>15873.22</v>
      </c>
      <c r="AZ42" s="7">
        <f t="shared" si="43"/>
        <v>0</v>
      </c>
      <c r="BA42" s="7">
        <f t="shared" si="43"/>
        <v>0</v>
      </c>
      <c r="BB42" s="7">
        <f t="shared" si="43"/>
        <v>0</v>
      </c>
      <c r="BC42" s="7">
        <f t="shared" si="43"/>
        <v>0</v>
      </c>
      <c r="BD42" s="7">
        <f t="shared" si="43"/>
        <v>0</v>
      </c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>
        <f>ROUND(SUMIF(AA28:AA40,"=78397139",FQ28:FQ40),2)</f>
        <v>0</v>
      </c>
      <c r="BY42" s="7">
        <f>ROUND(SUMIF(AA28:AA40,"=78397139",FR28:FR40),2)</f>
        <v>0</v>
      </c>
      <c r="BZ42" s="7">
        <f>ROUND(SUMIF(AA28:AA40,"=78397139",GL28:GL40),2)</f>
        <v>0</v>
      </c>
      <c r="CA42" s="7">
        <f>ROUND(SUMIF(AA28:AA40,"=78397139",GM28:GM40),2)</f>
        <v>31509.29</v>
      </c>
      <c r="CB42" s="7">
        <f>ROUND(SUMIF(AA28:AA40,"=78397139",GN28:GN40),2)</f>
        <v>31509.29</v>
      </c>
      <c r="CC42" s="7">
        <f>ROUND(SUMIF(AA28:AA40,"=78397139",GO28:GO40),2)</f>
        <v>0</v>
      </c>
      <c r="CD42" s="7">
        <f>ROUND(SUMIF(AA28:AA40,"=78397139",GP28:GP40),2)</f>
        <v>0</v>
      </c>
      <c r="CE42" s="7">
        <f>AC42-BX42</f>
        <v>15873.22</v>
      </c>
      <c r="CF42" s="7">
        <f>AC42-BY42</f>
        <v>15873.22</v>
      </c>
      <c r="CG42" s="7">
        <f>BX42-BZ42</f>
        <v>0</v>
      </c>
      <c r="CH42" s="7">
        <f>AC42-BX42-BY42+BZ42</f>
        <v>15873.22</v>
      </c>
      <c r="CI42" s="7">
        <f>BY42-BZ42</f>
        <v>0</v>
      </c>
      <c r="CJ42" s="7">
        <f>ROUND(SUMIF(AA28:AA40,"=78397139",GX28:GX40),2)</f>
        <v>0</v>
      </c>
      <c r="CK42" s="7">
        <f>ROUND(SUMIF(AA28:AA40,"=78397139",GY28:GY40),2)</f>
        <v>0</v>
      </c>
      <c r="CL42" s="7">
        <f>ROUND(SUMIF(AA28:AA40,"=78397139",GZ28:GZ40),2)</f>
        <v>0</v>
      </c>
      <c r="CM42" s="7">
        <f>ROUND(SUMIF(AA28:AA40,"=78397139",HD28:HD40),2)</f>
        <v>0</v>
      </c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>
        <v>0</v>
      </c>
    </row>
    <row r="44" spans="1:245" x14ac:dyDescent="0.25">
      <c r="A44" s="4">
        <v>50</v>
      </c>
      <c r="B44" s="4">
        <v>0</v>
      </c>
      <c r="C44" s="4">
        <v>0</v>
      </c>
      <c r="D44" s="4">
        <v>1</v>
      </c>
      <c r="E44" s="4">
        <v>201</v>
      </c>
      <c r="F44" s="4">
        <f>ROUND(Source!O42,O44)</f>
        <v>22169.58</v>
      </c>
      <c r="G44" s="4" t="s">
        <v>422</v>
      </c>
      <c r="H44" s="4" t="s">
        <v>423</v>
      </c>
      <c r="I44" s="4"/>
      <c r="J44" s="4"/>
      <c r="K44" s="4">
        <v>201</v>
      </c>
      <c r="L44" s="4">
        <v>1</v>
      </c>
      <c r="M44" s="4">
        <v>3</v>
      </c>
      <c r="N44" s="4" t="s">
        <v>332</v>
      </c>
      <c r="O44" s="4">
        <v>2</v>
      </c>
      <c r="P44" s="4"/>
      <c r="Q44" s="4"/>
      <c r="R44" s="4"/>
      <c r="S44" s="4"/>
      <c r="T44" s="4"/>
      <c r="U44" s="4"/>
      <c r="V44" s="4"/>
      <c r="W44" s="4">
        <v>22169.58</v>
      </c>
      <c r="X44" s="4">
        <v>1</v>
      </c>
      <c r="Y44" s="4">
        <v>22169.58</v>
      </c>
      <c r="Z44" s="4"/>
      <c r="AA44" s="4"/>
      <c r="AB44" s="4"/>
    </row>
    <row r="45" spans="1:245" x14ac:dyDescent="0.25">
      <c r="A45" s="4">
        <v>50</v>
      </c>
      <c r="B45" s="4">
        <v>0</v>
      </c>
      <c r="C45" s="4">
        <v>0</v>
      </c>
      <c r="D45" s="4">
        <v>1</v>
      </c>
      <c r="E45" s="4">
        <v>202</v>
      </c>
      <c r="F45" s="4">
        <f>ROUND(Source!P42,O45)</f>
        <v>15873.22</v>
      </c>
      <c r="G45" s="4" t="s">
        <v>424</v>
      </c>
      <c r="H45" s="4" t="s">
        <v>425</v>
      </c>
      <c r="I45" s="4"/>
      <c r="J45" s="4"/>
      <c r="K45" s="4">
        <v>202</v>
      </c>
      <c r="L45" s="4">
        <v>2</v>
      </c>
      <c r="M45" s="4">
        <v>3</v>
      </c>
      <c r="N45" s="4" t="s">
        <v>332</v>
      </c>
      <c r="O45" s="4">
        <v>2</v>
      </c>
      <c r="P45" s="4"/>
      <c r="Q45" s="4"/>
      <c r="R45" s="4"/>
      <c r="S45" s="4"/>
      <c r="T45" s="4"/>
      <c r="U45" s="4"/>
      <c r="V45" s="4"/>
      <c r="W45" s="4">
        <v>15873.22</v>
      </c>
      <c r="X45" s="4">
        <v>1</v>
      </c>
      <c r="Y45" s="4">
        <v>15873.22</v>
      </c>
      <c r="Z45" s="4"/>
      <c r="AA45" s="4"/>
      <c r="AB45" s="4"/>
    </row>
    <row r="46" spans="1:245" x14ac:dyDescent="0.25">
      <c r="A46" s="4">
        <v>50</v>
      </c>
      <c r="B46" s="4">
        <v>0</v>
      </c>
      <c r="C46" s="4">
        <v>0</v>
      </c>
      <c r="D46" s="4">
        <v>1</v>
      </c>
      <c r="E46" s="4">
        <v>222</v>
      </c>
      <c r="F46" s="4">
        <f>ROUND(Source!AO42,O46)</f>
        <v>0</v>
      </c>
      <c r="G46" s="4" t="s">
        <v>426</v>
      </c>
      <c r="H46" s="4" t="s">
        <v>427</v>
      </c>
      <c r="I46" s="4"/>
      <c r="J46" s="4"/>
      <c r="K46" s="4">
        <v>222</v>
      </c>
      <c r="L46" s="4">
        <v>3</v>
      </c>
      <c r="M46" s="4">
        <v>3</v>
      </c>
      <c r="N46" s="4" t="s">
        <v>332</v>
      </c>
      <c r="O46" s="4">
        <v>2</v>
      </c>
      <c r="P46" s="4"/>
      <c r="Q46" s="4"/>
      <c r="R46" s="4"/>
      <c r="S46" s="4"/>
      <c r="T46" s="4"/>
      <c r="U46" s="4"/>
      <c r="V46" s="4"/>
      <c r="W46" s="4">
        <v>0</v>
      </c>
      <c r="X46" s="4">
        <v>1</v>
      </c>
      <c r="Y46" s="4">
        <v>0</v>
      </c>
      <c r="Z46" s="4"/>
      <c r="AA46" s="4"/>
      <c r="AB46" s="4"/>
    </row>
    <row r="47" spans="1:245" x14ac:dyDescent="0.25">
      <c r="A47" s="4">
        <v>50</v>
      </c>
      <c r="B47" s="4">
        <v>0</v>
      </c>
      <c r="C47" s="4">
        <v>0</v>
      </c>
      <c r="D47" s="4">
        <v>1</v>
      </c>
      <c r="E47" s="4">
        <v>225</v>
      </c>
      <c r="F47" s="4">
        <f>ROUND(Source!AV42,O47)</f>
        <v>15873.22</v>
      </c>
      <c r="G47" s="4" t="s">
        <v>428</v>
      </c>
      <c r="H47" s="4" t="s">
        <v>429</v>
      </c>
      <c r="I47" s="4"/>
      <c r="J47" s="4"/>
      <c r="K47" s="4">
        <v>225</v>
      </c>
      <c r="L47" s="4">
        <v>4</v>
      </c>
      <c r="M47" s="4">
        <v>3</v>
      </c>
      <c r="N47" s="4" t="s">
        <v>332</v>
      </c>
      <c r="O47" s="4">
        <v>2</v>
      </c>
      <c r="P47" s="4"/>
      <c r="Q47" s="4"/>
      <c r="R47" s="4"/>
      <c r="S47" s="4"/>
      <c r="T47" s="4"/>
      <c r="U47" s="4"/>
      <c r="V47" s="4"/>
      <c r="W47" s="4">
        <v>15873.22</v>
      </c>
      <c r="X47" s="4">
        <v>1</v>
      </c>
      <c r="Y47" s="4">
        <v>15873.22</v>
      </c>
      <c r="Z47" s="4"/>
      <c r="AA47" s="4"/>
      <c r="AB47" s="4"/>
    </row>
    <row r="48" spans="1:245" x14ac:dyDescent="0.25">
      <c r="A48" s="4">
        <v>50</v>
      </c>
      <c r="B48" s="4">
        <v>0</v>
      </c>
      <c r="C48" s="4">
        <v>0</v>
      </c>
      <c r="D48" s="4">
        <v>1</v>
      </c>
      <c r="E48" s="4">
        <v>226</v>
      </c>
      <c r="F48" s="4">
        <f>ROUND(Source!AW42,O48)</f>
        <v>15873.22</v>
      </c>
      <c r="G48" s="4" t="s">
        <v>430</v>
      </c>
      <c r="H48" s="4" t="s">
        <v>431</v>
      </c>
      <c r="I48" s="4"/>
      <c r="J48" s="4"/>
      <c r="K48" s="4">
        <v>226</v>
      </c>
      <c r="L48" s="4">
        <v>5</v>
      </c>
      <c r="M48" s="4">
        <v>3</v>
      </c>
      <c r="N48" s="4" t="s">
        <v>332</v>
      </c>
      <c r="O48" s="4">
        <v>2</v>
      </c>
      <c r="P48" s="4"/>
      <c r="Q48" s="4"/>
      <c r="R48" s="4"/>
      <c r="S48" s="4"/>
      <c r="T48" s="4"/>
      <c r="U48" s="4"/>
      <c r="V48" s="4"/>
      <c r="W48" s="4">
        <v>15873.22</v>
      </c>
      <c r="X48" s="4">
        <v>1</v>
      </c>
      <c r="Y48" s="4">
        <v>15873.22</v>
      </c>
      <c r="Z48" s="4"/>
      <c r="AA48" s="4"/>
      <c r="AB48" s="4"/>
    </row>
    <row r="49" spans="1:28" x14ac:dyDescent="0.25">
      <c r="A49" s="4">
        <v>50</v>
      </c>
      <c r="B49" s="4">
        <v>0</v>
      </c>
      <c r="C49" s="4">
        <v>0</v>
      </c>
      <c r="D49" s="4">
        <v>1</v>
      </c>
      <c r="E49" s="4">
        <v>227</v>
      </c>
      <c r="F49" s="4">
        <f>ROUND(Source!AX42,O49)</f>
        <v>0</v>
      </c>
      <c r="G49" s="4" t="s">
        <v>432</v>
      </c>
      <c r="H49" s="4" t="s">
        <v>433</v>
      </c>
      <c r="I49" s="4"/>
      <c r="J49" s="4"/>
      <c r="K49" s="4">
        <v>227</v>
      </c>
      <c r="L49" s="4">
        <v>6</v>
      </c>
      <c r="M49" s="4">
        <v>3</v>
      </c>
      <c r="N49" s="4" t="s">
        <v>332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</row>
    <row r="50" spans="1:28" x14ac:dyDescent="0.25">
      <c r="A50" s="4">
        <v>50</v>
      </c>
      <c r="B50" s="4">
        <v>0</v>
      </c>
      <c r="C50" s="4">
        <v>0</v>
      </c>
      <c r="D50" s="4">
        <v>1</v>
      </c>
      <c r="E50" s="4">
        <v>228</v>
      </c>
      <c r="F50" s="4">
        <f>ROUND(Source!AY42,O50)</f>
        <v>15873.22</v>
      </c>
      <c r="G50" s="4" t="s">
        <v>434</v>
      </c>
      <c r="H50" s="4" t="s">
        <v>435</v>
      </c>
      <c r="I50" s="4"/>
      <c r="J50" s="4"/>
      <c r="K50" s="4">
        <v>228</v>
      </c>
      <c r="L50" s="4">
        <v>7</v>
      </c>
      <c r="M50" s="4">
        <v>3</v>
      </c>
      <c r="N50" s="4" t="s">
        <v>332</v>
      </c>
      <c r="O50" s="4">
        <v>2</v>
      </c>
      <c r="P50" s="4"/>
      <c r="Q50" s="4"/>
      <c r="R50" s="4"/>
      <c r="S50" s="4"/>
      <c r="T50" s="4"/>
      <c r="U50" s="4"/>
      <c r="V50" s="4"/>
      <c r="W50" s="4">
        <v>15873.22</v>
      </c>
      <c r="X50" s="4">
        <v>1</v>
      </c>
      <c r="Y50" s="4">
        <v>15873.22</v>
      </c>
      <c r="Z50" s="4"/>
      <c r="AA50" s="4"/>
      <c r="AB50" s="4"/>
    </row>
    <row r="51" spans="1:28" x14ac:dyDescent="0.25">
      <c r="A51" s="4">
        <v>50</v>
      </c>
      <c r="B51" s="4">
        <v>0</v>
      </c>
      <c r="C51" s="4">
        <v>0</v>
      </c>
      <c r="D51" s="4">
        <v>1</v>
      </c>
      <c r="E51" s="4">
        <v>216</v>
      </c>
      <c r="F51" s="4">
        <f>ROUND(Source!AP42,O51)</f>
        <v>0</v>
      </c>
      <c r="G51" s="4" t="s">
        <v>436</v>
      </c>
      <c r="H51" s="4" t="s">
        <v>437</v>
      </c>
      <c r="I51" s="4"/>
      <c r="J51" s="4"/>
      <c r="K51" s="4">
        <v>216</v>
      </c>
      <c r="L51" s="4">
        <v>8</v>
      </c>
      <c r="M51" s="4">
        <v>3</v>
      </c>
      <c r="N51" s="4" t="s">
        <v>332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28" x14ac:dyDescent="0.25">
      <c r="A52" s="4">
        <v>50</v>
      </c>
      <c r="B52" s="4">
        <v>0</v>
      </c>
      <c r="C52" s="4">
        <v>0</v>
      </c>
      <c r="D52" s="4">
        <v>1</v>
      </c>
      <c r="E52" s="4">
        <v>223</v>
      </c>
      <c r="F52" s="4">
        <f>ROUND(Source!AQ42,O52)</f>
        <v>0</v>
      </c>
      <c r="G52" s="4" t="s">
        <v>438</v>
      </c>
      <c r="H52" s="4" t="s">
        <v>439</v>
      </c>
      <c r="I52" s="4"/>
      <c r="J52" s="4"/>
      <c r="K52" s="4">
        <v>223</v>
      </c>
      <c r="L52" s="4">
        <v>9</v>
      </c>
      <c r="M52" s="4">
        <v>3</v>
      </c>
      <c r="N52" s="4" t="s">
        <v>332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8" x14ac:dyDescent="0.25">
      <c r="A53" s="4">
        <v>50</v>
      </c>
      <c r="B53" s="4">
        <v>0</v>
      </c>
      <c r="C53" s="4">
        <v>0</v>
      </c>
      <c r="D53" s="4">
        <v>1</v>
      </c>
      <c r="E53" s="4">
        <v>229</v>
      </c>
      <c r="F53" s="4">
        <f>ROUND(Source!AZ42,O53)</f>
        <v>0</v>
      </c>
      <c r="G53" s="4" t="s">
        <v>440</v>
      </c>
      <c r="H53" s="4" t="s">
        <v>441</v>
      </c>
      <c r="I53" s="4"/>
      <c r="J53" s="4"/>
      <c r="K53" s="4">
        <v>229</v>
      </c>
      <c r="L53" s="4">
        <v>10</v>
      </c>
      <c r="M53" s="4">
        <v>3</v>
      </c>
      <c r="N53" s="4" t="s">
        <v>332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28" x14ac:dyDescent="0.25">
      <c r="A54" s="4">
        <v>50</v>
      </c>
      <c r="B54" s="4">
        <v>0</v>
      </c>
      <c r="C54" s="4">
        <v>0</v>
      </c>
      <c r="D54" s="4">
        <v>1</v>
      </c>
      <c r="E54" s="4">
        <v>203</v>
      </c>
      <c r="F54" s="4">
        <f>ROUND(Source!Q42,O54)</f>
        <v>57.17</v>
      </c>
      <c r="G54" s="4" t="s">
        <v>442</v>
      </c>
      <c r="H54" s="4" t="s">
        <v>443</v>
      </c>
      <c r="I54" s="4"/>
      <c r="J54" s="4"/>
      <c r="K54" s="4">
        <v>203</v>
      </c>
      <c r="L54" s="4">
        <v>11</v>
      </c>
      <c r="M54" s="4">
        <v>3</v>
      </c>
      <c r="N54" s="4" t="s">
        <v>332</v>
      </c>
      <c r="O54" s="4">
        <v>2</v>
      </c>
      <c r="P54" s="4"/>
      <c r="Q54" s="4"/>
      <c r="R54" s="4"/>
      <c r="S54" s="4"/>
      <c r="T54" s="4"/>
      <c r="U54" s="4"/>
      <c r="V54" s="4"/>
      <c r="W54" s="4">
        <v>57.17</v>
      </c>
      <c r="X54" s="4">
        <v>1</v>
      </c>
      <c r="Y54" s="4">
        <v>57.17</v>
      </c>
      <c r="Z54" s="4"/>
      <c r="AA54" s="4"/>
      <c r="AB54" s="4"/>
    </row>
    <row r="55" spans="1:28" x14ac:dyDescent="0.25">
      <c r="A55" s="4">
        <v>50</v>
      </c>
      <c r="B55" s="4">
        <v>0</v>
      </c>
      <c r="C55" s="4">
        <v>0</v>
      </c>
      <c r="D55" s="4">
        <v>1</v>
      </c>
      <c r="E55" s="4">
        <v>231</v>
      </c>
      <c r="F55" s="4">
        <f>ROUND(Source!BB42,O55)</f>
        <v>0</v>
      </c>
      <c r="G55" s="4" t="s">
        <v>444</v>
      </c>
      <c r="H55" s="4" t="s">
        <v>445</v>
      </c>
      <c r="I55" s="4"/>
      <c r="J55" s="4"/>
      <c r="K55" s="4">
        <v>231</v>
      </c>
      <c r="L55" s="4">
        <v>12</v>
      </c>
      <c r="M55" s="4">
        <v>3</v>
      </c>
      <c r="N55" s="4" t="s">
        <v>332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 x14ac:dyDescent="0.25">
      <c r="A56" s="4">
        <v>50</v>
      </c>
      <c r="B56" s="4">
        <v>0</v>
      </c>
      <c r="C56" s="4">
        <v>0</v>
      </c>
      <c r="D56" s="4">
        <v>1</v>
      </c>
      <c r="E56" s="4">
        <v>204</v>
      </c>
      <c r="F56" s="4">
        <f>ROUND(Source!R42,O56)</f>
        <v>47.53</v>
      </c>
      <c r="G56" s="4" t="s">
        <v>446</v>
      </c>
      <c r="H56" s="4" t="s">
        <v>447</v>
      </c>
      <c r="I56" s="4"/>
      <c r="J56" s="4"/>
      <c r="K56" s="4">
        <v>204</v>
      </c>
      <c r="L56" s="4">
        <v>13</v>
      </c>
      <c r="M56" s="4">
        <v>3</v>
      </c>
      <c r="N56" s="4" t="s">
        <v>332</v>
      </c>
      <c r="O56" s="4">
        <v>2</v>
      </c>
      <c r="P56" s="4"/>
      <c r="Q56" s="4"/>
      <c r="R56" s="4"/>
      <c r="S56" s="4"/>
      <c r="T56" s="4"/>
      <c r="U56" s="4"/>
      <c r="V56" s="4"/>
      <c r="W56" s="4">
        <v>47.53</v>
      </c>
      <c r="X56" s="4">
        <v>1</v>
      </c>
      <c r="Y56" s="4">
        <v>47.53</v>
      </c>
      <c r="Z56" s="4"/>
      <c r="AA56" s="4"/>
      <c r="AB56" s="4"/>
    </row>
    <row r="57" spans="1:28" x14ac:dyDescent="0.25">
      <c r="A57" s="4">
        <v>50</v>
      </c>
      <c r="B57" s="4">
        <v>0</v>
      </c>
      <c r="C57" s="4">
        <v>0</v>
      </c>
      <c r="D57" s="4">
        <v>1</v>
      </c>
      <c r="E57" s="4">
        <v>205</v>
      </c>
      <c r="F57" s="4">
        <f>ROUND(Source!S42,O57)</f>
        <v>6191.66</v>
      </c>
      <c r="G57" s="4" t="s">
        <v>448</v>
      </c>
      <c r="H57" s="4" t="s">
        <v>449</v>
      </c>
      <c r="I57" s="4"/>
      <c r="J57" s="4"/>
      <c r="K57" s="4">
        <v>205</v>
      </c>
      <c r="L57" s="4">
        <v>14</v>
      </c>
      <c r="M57" s="4">
        <v>3</v>
      </c>
      <c r="N57" s="4" t="s">
        <v>332</v>
      </c>
      <c r="O57" s="4">
        <v>2</v>
      </c>
      <c r="P57" s="4"/>
      <c r="Q57" s="4"/>
      <c r="R57" s="4"/>
      <c r="S57" s="4"/>
      <c r="T57" s="4"/>
      <c r="U57" s="4"/>
      <c r="V57" s="4"/>
      <c r="W57" s="4">
        <v>6191.66</v>
      </c>
      <c r="X57" s="4">
        <v>1</v>
      </c>
      <c r="Y57" s="4">
        <v>6191.66</v>
      </c>
      <c r="Z57" s="4"/>
      <c r="AA57" s="4"/>
      <c r="AB57" s="4"/>
    </row>
    <row r="58" spans="1:28" x14ac:dyDescent="0.25">
      <c r="A58" s="4">
        <v>50</v>
      </c>
      <c r="B58" s="4">
        <v>0</v>
      </c>
      <c r="C58" s="4">
        <v>0</v>
      </c>
      <c r="D58" s="4">
        <v>1</v>
      </c>
      <c r="E58" s="4">
        <v>232</v>
      </c>
      <c r="F58" s="4">
        <f>ROUND(Source!BC42,O58)</f>
        <v>0</v>
      </c>
      <c r="G58" s="4" t="s">
        <v>450</v>
      </c>
      <c r="H58" s="4" t="s">
        <v>451</v>
      </c>
      <c r="I58" s="4"/>
      <c r="J58" s="4"/>
      <c r="K58" s="4">
        <v>232</v>
      </c>
      <c r="L58" s="4">
        <v>15</v>
      </c>
      <c r="M58" s="4">
        <v>3</v>
      </c>
      <c r="N58" s="4" t="s">
        <v>332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28" x14ac:dyDescent="0.25">
      <c r="A59" s="4">
        <v>50</v>
      </c>
      <c r="B59" s="4">
        <v>0</v>
      </c>
      <c r="C59" s="4">
        <v>0</v>
      </c>
      <c r="D59" s="4">
        <v>1</v>
      </c>
      <c r="E59" s="4">
        <v>214</v>
      </c>
      <c r="F59" s="4">
        <f>ROUND(Source!AS42,O59)</f>
        <v>31509.29</v>
      </c>
      <c r="G59" s="4" t="s">
        <v>452</v>
      </c>
      <c r="H59" s="4" t="s">
        <v>453</v>
      </c>
      <c r="I59" s="4"/>
      <c r="J59" s="4"/>
      <c r="K59" s="4">
        <v>214</v>
      </c>
      <c r="L59" s="4">
        <v>16</v>
      </c>
      <c r="M59" s="4">
        <v>3</v>
      </c>
      <c r="N59" s="4" t="s">
        <v>332</v>
      </c>
      <c r="O59" s="4">
        <v>2</v>
      </c>
      <c r="P59" s="4"/>
      <c r="Q59" s="4"/>
      <c r="R59" s="4"/>
      <c r="S59" s="4"/>
      <c r="T59" s="4"/>
      <c r="U59" s="4"/>
      <c r="V59" s="4"/>
      <c r="W59" s="4">
        <v>31509.29</v>
      </c>
      <c r="X59" s="4">
        <v>1</v>
      </c>
      <c r="Y59" s="4">
        <v>31509.29</v>
      </c>
      <c r="Z59" s="4"/>
      <c r="AA59" s="4"/>
      <c r="AB59" s="4"/>
    </row>
    <row r="60" spans="1:28" x14ac:dyDescent="0.25">
      <c r="A60" s="4">
        <v>50</v>
      </c>
      <c r="B60" s="4">
        <v>0</v>
      </c>
      <c r="C60" s="4">
        <v>0</v>
      </c>
      <c r="D60" s="4">
        <v>1</v>
      </c>
      <c r="E60" s="4">
        <v>215</v>
      </c>
      <c r="F60" s="4">
        <f>ROUND(Source!AT42,O60)</f>
        <v>0</v>
      </c>
      <c r="G60" s="4" t="s">
        <v>454</v>
      </c>
      <c r="H60" s="4" t="s">
        <v>455</v>
      </c>
      <c r="I60" s="4"/>
      <c r="J60" s="4"/>
      <c r="K60" s="4">
        <v>215</v>
      </c>
      <c r="L60" s="4">
        <v>17</v>
      </c>
      <c r="M60" s="4">
        <v>3</v>
      </c>
      <c r="N60" s="4" t="s">
        <v>332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8" x14ac:dyDescent="0.25">
      <c r="A61" s="4">
        <v>50</v>
      </c>
      <c r="B61" s="4">
        <v>0</v>
      </c>
      <c r="C61" s="4">
        <v>0</v>
      </c>
      <c r="D61" s="4">
        <v>1</v>
      </c>
      <c r="E61" s="4">
        <v>217</v>
      </c>
      <c r="F61" s="4">
        <f>ROUND(Source!AU42,O61)</f>
        <v>0</v>
      </c>
      <c r="G61" s="4" t="s">
        <v>456</v>
      </c>
      <c r="H61" s="4" t="s">
        <v>457</v>
      </c>
      <c r="I61" s="4"/>
      <c r="J61" s="4"/>
      <c r="K61" s="4">
        <v>217</v>
      </c>
      <c r="L61" s="4">
        <v>18</v>
      </c>
      <c r="M61" s="4">
        <v>3</v>
      </c>
      <c r="N61" s="4" t="s">
        <v>332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8" x14ac:dyDescent="0.25">
      <c r="A62" s="4">
        <v>50</v>
      </c>
      <c r="B62" s="4">
        <v>0</v>
      </c>
      <c r="C62" s="4">
        <v>0</v>
      </c>
      <c r="D62" s="4">
        <v>1</v>
      </c>
      <c r="E62" s="4">
        <v>230</v>
      </c>
      <c r="F62" s="4">
        <f>ROUND(Source!BA42,O62)</f>
        <v>0</v>
      </c>
      <c r="G62" s="4" t="s">
        <v>458</v>
      </c>
      <c r="H62" s="4" t="s">
        <v>459</v>
      </c>
      <c r="I62" s="4"/>
      <c r="J62" s="4"/>
      <c r="K62" s="4">
        <v>230</v>
      </c>
      <c r="L62" s="4">
        <v>19</v>
      </c>
      <c r="M62" s="4">
        <v>3</v>
      </c>
      <c r="N62" s="4" t="s">
        <v>332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3" spans="1:28" x14ac:dyDescent="0.25">
      <c r="A63" s="4">
        <v>50</v>
      </c>
      <c r="B63" s="4">
        <v>0</v>
      </c>
      <c r="C63" s="4">
        <v>0</v>
      </c>
      <c r="D63" s="4">
        <v>1</v>
      </c>
      <c r="E63" s="4">
        <v>206</v>
      </c>
      <c r="F63" s="4">
        <f>ROUND(Source!T42,O63)</f>
        <v>0</v>
      </c>
      <c r="G63" s="4" t="s">
        <v>460</v>
      </c>
      <c r="H63" s="4" t="s">
        <v>461</v>
      </c>
      <c r="I63" s="4"/>
      <c r="J63" s="4"/>
      <c r="K63" s="4">
        <v>206</v>
      </c>
      <c r="L63" s="4">
        <v>20</v>
      </c>
      <c r="M63" s="4">
        <v>3</v>
      </c>
      <c r="N63" s="4" t="s">
        <v>332</v>
      </c>
      <c r="O63" s="4">
        <v>2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</row>
    <row r="64" spans="1:28" x14ac:dyDescent="0.25">
      <c r="A64" s="4">
        <v>50</v>
      </c>
      <c r="B64" s="4">
        <v>0</v>
      </c>
      <c r="C64" s="4">
        <v>0</v>
      </c>
      <c r="D64" s="4">
        <v>1</v>
      </c>
      <c r="E64" s="4">
        <v>207</v>
      </c>
      <c r="F64" s="4">
        <f>ROUND(Source!U42,O64)</f>
        <v>8.8695018000000001</v>
      </c>
      <c r="G64" s="4" t="s">
        <v>462</v>
      </c>
      <c r="H64" s="4" t="s">
        <v>463</v>
      </c>
      <c r="I64" s="4"/>
      <c r="J64" s="4"/>
      <c r="K64" s="4">
        <v>207</v>
      </c>
      <c r="L64" s="4">
        <v>21</v>
      </c>
      <c r="M64" s="4">
        <v>3</v>
      </c>
      <c r="N64" s="4" t="s">
        <v>332</v>
      </c>
      <c r="O64" s="4">
        <v>7</v>
      </c>
      <c r="P64" s="4"/>
      <c r="Q64" s="4"/>
      <c r="R64" s="4"/>
      <c r="S64" s="4"/>
      <c r="T64" s="4"/>
      <c r="U64" s="4"/>
      <c r="V64" s="4"/>
      <c r="W64" s="4">
        <v>8.8695018000000001</v>
      </c>
      <c r="X64" s="4">
        <v>1</v>
      </c>
      <c r="Y64" s="4">
        <v>8.8695018000000001</v>
      </c>
      <c r="Z64" s="4"/>
      <c r="AA64" s="4"/>
      <c r="AB64" s="4"/>
    </row>
    <row r="65" spans="1:245" x14ac:dyDescent="0.25">
      <c r="A65" s="4">
        <v>50</v>
      </c>
      <c r="B65" s="4">
        <v>0</v>
      </c>
      <c r="C65" s="4">
        <v>0</v>
      </c>
      <c r="D65" s="4">
        <v>1</v>
      </c>
      <c r="E65" s="4">
        <v>208</v>
      </c>
      <c r="F65" s="4">
        <f>ROUND(Source!V42,O65)</f>
        <v>6.6649100000000003E-2</v>
      </c>
      <c r="G65" s="4" t="s">
        <v>464</v>
      </c>
      <c r="H65" s="4" t="s">
        <v>465</v>
      </c>
      <c r="I65" s="4"/>
      <c r="J65" s="4"/>
      <c r="K65" s="4">
        <v>208</v>
      </c>
      <c r="L65" s="4">
        <v>22</v>
      </c>
      <c r="M65" s="4">
        <v>3</v>
      </c>
      <c r="N65" s="4" t="s">
        <v>332</v>
      </c>
      <c r="O65" s="4">
        <v>7</v>
      </c>
      <c r="P65" s="4"/>
      <c r="Q65" s="4"/>
      <c r="R65" s="4"/>
      <c r="S65" s="4"/>
      <c r="T65" s="4"/>
      <c r="U65" s="4"/>
      <c r="V65" s="4"/>
      <c r="W65" s="4">
        <v>6.6649100000000003E-2</v>
      </c>
      <c r="X65" s="4">
        <v>1</v>
      </c>
      <c r="Y65" s="4">
        <v>6.6649100000000003E-2</v>
      </c>
      <c r="Z65" s="4"/>
      <c r="AA65" s="4"/>
      <c r="AB65" s="4"/>
    </row>
    <row r="66" spans="1:245" x14ac:dyDescent="0.25">
      <c r="A66" s="4">
        <v>50</v>
      </c>
      <c r="B66" s="4">
        <v>0</v>
      </c>
      <c r="C66" s="4">
        <v>0</v>
      </c>
      <c r="D66" s="4">
        <v>1</v>
      </c>
      <c r="E66" s="4">
        <v>209</v>
      </c>
      <c r="F66" s="4">
        <f>ROUND(Source!W42,O66)</f>
        <v>0</v>
      </c>
      <c r="G66" s="4" t="s">
        <v>466</v>
      </c>
      <c r="H66" s="4" t="s">
        <v>467</v>
      </c>
      <c r="I66" s="4"/>
      <c r="J66" s="4"/>
      <c r="K66" s="4">
        <v>209</v>
      </c>
      <c r="L66" s="4">
        <v>23</v>
      </c>
      <c r="M66" s="4">
        <v>3</v>
      </c>
      <c r="N66" s="4" t="s">
        <v>332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45" x14ac:dyDescent="0.25">
      <c r="A67" s="4">
        <v>50</v>
      </c>
      <c r="B67" s="4">
        <v>0</v>
      </c>
      <c r="C67" s="4">
        <v>0</v>
      </c>
      <c r="D67" s="4">
        <v>1</v>
      </c>
      <c r="E67" s="4">
        <v>233</v>
      </c>
      <c r="F67" s="4">
        <f>ROUND(Source!BD42,O67)</f>
        <v>0</v>
      </c>
      <c r="G67" s="4" t="s">
        <v>468</v>
      </c>
      <c r="H67" s="4" t="s">
        <v>469</v>
      </c>
      <c r="I67" s="4"/>
      <c r="J67" s="4"/>
      <c r="K67" s="4">
        <v>233</v>
      </c>
      <c r="L67" s="4">
        <v>24</v>
      </c>
      <c r="M67" s="4">
        <v>3</v>
      </c>
      <c r="N67" s="4" t="s">
        <v>332</v>
      </c>
      <c r="O67" s="4">
        <v>2</v>
      </c>
      <c r="P67" s="4"/>
      <c r="Q67" s="4"/>
      <c r="R67" s="4"/>
      <c r="S67" s="4"/>
      <c r="T67" s="4"/>
      <c r="U67" s="4"/>
      <c r="V67" s="4"/>
      <c r="W67" s="4">
        <v>0</v>
      </c>
      <c r="X67" s="4">
        <v>1</v>
      </c>
      <c r="Y67" s="4">
        <v>0</v>
      </c>
      <c r="Z67" s="4"/>
      <c r="AA67" s="4"/>
      <c r="AB67" s="4"/>
    </row>
    <row r="68" spans="1:245" x14ac:dyDescent="0.25">
      <c r="A68" s="4">
        <v>50</v>
      </c>
      <c r="B68" s="4">
        <v>0</v>
      </c>
      <c r="C68" s="4">
        <v>0</v>
      </c>
      <c r="D68" s="4">
        <v>1</v>
      </c>
      <c r="E68" s="4">
        <v>210</v>
      </c>
      <c r="F68" s="4">
        <f>ROUND(Source!X42,O68)</f>
        <v>6210.53</v>
      </c>
      <c r="G68" s="4" t="s">
        <v>470</v>
      </c>
      <c r="H68" s="4" t="s">
        <v>471</v>
      </c>
      <c r="I68" s="4"/>
      <c r="J68" s="4"/>
      <c r="K68" s="4">
        <v>210</v>
      </c>
      <c r="L68" s="4">
        <v>25</v>
      </c>
      <c r="M68" s="4">
        <v>3</v>
      </c>
      <c r="N68" s="4" t="s">
        <v>332</v>
      </c>
      <c r="O68" s="4">
        <v>2</v>
      </c>
      <c r="P68" s="4"/>
      <c r="Q68" s="4"/>
      <c r="R68" s="4"/>
      <c r="S68" s="4"/>
      <c r="T68" s="4"/>
      <c r="U68" s="4"/>
      <c r="V68" s="4"/>
      <c r="W68" s="4">
        <v>6210.53</v>
      </c>
      <c r="X68" s="4">
        <v>1</v>
      </c>
      <c r="Y68" s="4">
        <v>6210.53</v>
      </c>
      <c r="Z68" s="4"/>
      <c r="AA68" s="4"/>
      <c r="AB68" s="4"/>
    </row>
    <row r="69" spans="1:245" x14ac:dyDescent="0.25">
      <c r="A69" s="4">
        <v>50</v>
      </c>
      <c r="B69" s="4">
        <v>0</v>
      </c>
      <c r="C69" s="4">
        <v>0</v>
      </c>
      <c r="D69" s="4">
        <v>1</v>
      </c>
      <c r="E69" s="4">
        <v>211</v>
      </c>
      <c r="F69" s="4">
        <f>ROUND(Source!Y42,O69)</f>
        <v>3129.18</v>
      </c>
      <c r="G69" s="4" t="s">
        <v>472</v>
      </c>
      <c r="H69" s="4" t="s">
        <v>473</v>
      </c>
      <c r="I69" s="4"/>
      <c r="J69" s="4"/>
      <c r="K69" s="4">
        <v>211</v>
      </c>
      <c r="L69" s="4">
        <v>26</v>
      </c>
      <c r="M69" s="4">
        <v>3</v>
      </c>
      <c r="N69" s="4" t="s">
        <v>332</v>
      </c>
      <c r="O69" s="4">
        <v>2</v>
      </c>
      <c r="P69" s="4"/>
      <c r="Q69" s="4"/>
      <c r="R69" s="4"/>
      <c r="S69" s="4"/>
      <c r="T69" s="4"/>
      <c r="U69" s="4"/>
      <c r="V69" s="4"/>
      <c r="W69" s="4">
        <v>3129.18</v>
      </c>
      <c r="X69" s="4">
        <v>1</v>
      </c>
      <c r="Y69" s="4">
        <v>3129.18</v>
      </c>
      <c r="Z69" s="4"/>
      <c r="AA69" s="4"/>
      <c r="AB69" s="4"/>
    </row>
    <row r="70" spans="1:245" x14ac:dyDescent="0.25">
      <c r="A70" s="4">
        <v>50</v>
      </c>
      <c r="B70" s="4">
        <v>0</v>
      </c>
      <c r="C70" s="4">
        <v>0</v>
      </c>
      <c r="D70" s="4">
        <v>1</v>
      </c>
      <c r="E70" s="4">
        <v>224</v>
      </c>
      <c r="F70" s="4">
        <f>ROUND(Source!AR42,O70)</f>
        <v>31509.29</v>
      </c>
      <c r="G70" s="4" t="s">
        <v>474</v>
      </c>
      <c r="H70" s="4" t="s">
        <v>475</v>
      </c>
      <c r="I70" s="4"/>
      <c r="J70" s="4"/>
      <c r="K70" s="4">
        <v>224</v>
      </c>
      <c r="L70" s="4">
        <v>27</v>
      </c>
      <c r="M70" s="4">
        <v>3</v>
      </c>
      <c r="N70" s="4" t="s">
        <v>332</v>
      </c>
      <c r="O70" s="4">
        <v>2</v>
      </c>
      <c r="P70" s="4"/>
      <c r="Q70" s="4"/>
      <c r="R70" s="4"/>
      <c r="S70" s="4"/>
      <c r="T70" s="4"/>
      <c r="U70" s="4"/>
      <c r="V70" s="4"/>
      <c r="W70" s="4">
        <v>31509.29</v>
      </c>
      <c r="X70" s="4">
        <v>1</v>
      </c>
      <c r="Y70" s="4">
        <v>31509.29</v>
      </c>
      <c r="Z70" s="4"/>
      <c r="AA70" s="4"/>
      <c r="AB70" s="4"/>
    </row>
    <row r="72" spans="1:245" x14ac:dyDescent="0.25">
      <c r="A72" s="1">
        <v>4</v>
      </c>
      <c r="B72" s="1">
        <v>1</v>
      </c>
      <c r="C72" s="1"/>
      <c r="D72" s="1">
        <f>ROW(A93)</f>
        <v>93</v>
      </c>
      <c r="E72" s="1"/>
      <c r="F72" s="1" t="s">
        <v>343</v>
      </c>
      <c r="G72" s="1" t="s">
        <v>476</v>
      </c>
      <c r="H72" s="1" t="s">
        <v>332</v>
      </c>
      <c r="I72" s="1">
        <v>0</v>
      </c>
      <c r="J72" s="1"/>
      <c r="K72" s="1">
        <v>0</v>
      </c>
      <c r="L72" s="1"/>
      <c r="M72" s="1" t="s">
        <v>332</v>
      </c>
      <c r="N72" s="1"/>
      <c r="O72" s="1"/>
      <c r="P72" s="1"/>
      <c r="Q72" s="1"/>
      <c r="R72" s="1"/>
      <c r="S72" s="1">
        <v>0</v>
      </c>
      <c r="T72" s="1"/>
      <c r="U72" s="1" t="s">
        <v>332</v>
      </c>
      <c r="V72" s="1">
        <v>0</v>
      </c>
      <c r="W72" s="1"/>
      <c r="X72" s="1"/>
      <c r="Y72" s="1"/>
      <c r="Z72" s="1"/>
      <c r="AA72" s="1"/>
      <c r="AB72" s="1" t="s">
        <v>332</v>
      </c>
      <c r="AC72" s="1" t="s">
        <v>332</v>
      </c>
      <c r="AD72" s="1" t="s">
        <v>332</v>
      </c>
      <c r="AE72" s="1" t="s">
        <v>332</v>
      </c>
      <c r="AF72" s="1" t="s">
        <v>332</v>
      </c>
      <c r="AG72" s="1" t="s">
        <v>332</v>
      </c>
      <c r="AH72" s="1"/>
      <c r="AI72" s="1"/>
      <c r="AJ72" s="1"/>
      <c r="AK72" s="1"/>
      <c r="AL72" s="1"/>
      <c r="AM72" s="1"/>
      <c r="AN72" s="1"/>
      <c r="AO72" s="1"/>
      <c r="AP72" s="1" t="s">
        <v>332</v>
      </c>
      <c r="AQ72" s="1" t="s">
        <v>332</v>
      </c>
      <c r="AR72" s="1" t="s">
        <v>332</v>
      </c>
      <c r="AS72" s="1"/>
      <c r="AT72" s="1"/>
      <c r="AU72" s="1"/>
      <c r="AV72" s="1"/>
      <c r="AW72" s="1"/>
      <c r="AX72" s="1"/>
      <c r="AY72" s="1"/>
      <c r="AZ72" s="1" t="s">
        <v>332</v>
      </c>
      <c r="BA72" s="1"/>
      <c r="BB72" s="1" t="s">
        <v>332</v>
      </c>
      <c r="BC72" s="1" t="s">
        <v>332</v>
      </c>
      <c r="BD72" s="1" t="s">
        <v>332</v>
      </c>
      <c r="BE72" s="1" t="s">
        <v>332</v>
      </c>
      <c r="BF72" s="1" t="s">
        <v>332</v>
      </c>
      <c r="BG72" s="1" t="s">
        <v>332</v>
      </c>
      <c r="BH72" s="1" t="s">
        <v>332</v>
      </c>
      <c r="BI72" s="1" t="s">
        <v>332</v>
      </c>
      <c r="BJ72" s="1" t="s">
        <v>332</v>
      </c>
      <c r="BK72" s="1" t="s">
        <v>332</v>
      </c>
      <c r="BL72" s="1" t="s">
        <v>332</v>
      </c>
      <c r="BM72" s="1" t="s">
        <v>332</v>
      </c>
      <c r="BN72" s="1" t="s">
        <v>332</v>
      </c>
      <c r="BO72" s="1" t="s">
        <v>332</v>
      </c>
      <c r="BP72" s="1" t="s">
        <v>332</v>
      </c>
      <c r="BQ72" s="1"/>
      <c r="BR72" s="1"/>
      <c r="BS72" s="1"/>
      <c r="BT72" s="1"/>
      <c r="BU72" s="1"/>
      <c r="BV72" s="1"/>
      <c r="BW72" s="1"/>
      <c r="BX72" s="1">
        <v>0</v>
      </c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>
        <v>0</v>
      </c>
    </row>
    <row r="74" spans="1:245" x14ac:dyDescent="0.25">
      <c r="A74" s="7">
        <v>52</v>
      </c>
      <c r="B74" s="7">
        <f t="shared" ref="B74:G74" si="44">B93</f>
        <v>1</v>
      </c>
      <c r="C74" s="7">
        <f t="shared" si="44"/>
        <v>4</v>
      </c>
      <c r="D74" s="7">
        <f t="shared" si="44"/>
        <v>72</v>
      </c>
      <c r="E74" s="7">
        <f t="shared" si="44"/>
        <v>0</v>
      </c>
      <c r="F74" s="7" t="str">
        <f t="shared" si="44"/>
        <v>Новый раздел</v>
      </c>
      <c r="G74" s="7" t="str">
        <f t="shared" si="44"/>
        <v>Работа 2</v>
      </c>
      <c r="H74" s="7"/>
      <c r="I74" s="7"/>
      <c r="J74" s="7"/>
      <c r="K74" s="7"/>
      <c r="L74" s="7"/>
      <c r="M74" s="7"/>
      <c r="N74" s="7"/>
      <c r="O74" s="7">
        <f t="shared" ref="O74:AT74" si="45">O93</f>
        <v>45535.65</v>
      </c>
      <c r="P74" s="7">
        <f t="shared" si="45"/>
        <v>29621.1</v>
      </c>
      <c r="Q74" s="7">
        <f t="shared" si="45"/>
        <v>87</v>
      </c>
      <c r="R74" s="7">
        <f t="shared" si="45"/>
        <v>81.91</v>
      </c>
      <c r="S74" s="7">
        <f t="shared" si="45"/>
        <v>15745.64</v>
      </c>
      <c r="T74" s="7">
        <f t="shared" si="45"/>
        <v>0</v>
      </c>
      <c r="U74" s="7">
        <f t="shared" si="45"/>
        <v>22.923539999999999</v>
      </c>
      <c r="V74" s="7">
        <f t="shared" si="45"/>
        <v>0.1134</v>
      </c>
      <c r="W74" s="7">
        <f t="shared" si="45"/>
        <v>0</v>
      </c>
      <c r="X74" s="7">
        <f t="shared" si="45"/>
        <v>16056.43</v>
      </c>
      <c r="Y74" s="7">
        <f t="shared" si="45"/>
        <v>8029.12</v>
      </c>
      <c r="Z74" s="7">
        <f t="shared" si="45"/>
        <v>0</v>
      </c>
      <c r="AA74" s="7">
        <f t="shared" si="45"/>
        <v>0</v>
      </c>
      <c r="AB74" s="7">
        <f t="shared" si="45"/>
        <v>45535.65</v>
      </c>
      <c r="AC74" s="7">
        <f t="shared" si="45"/>
        <v>29621.1</v>
      </c>
      <c r="AD74" s="7">
        <f t="shared" si="45"/>
        <v>87</v>
      </c>
      <c r="AE74" s="7">
        <f t="shared" si="45"/>
        <v>81.91</v>
      </c>
      <c r="AF74" s="7">
        <f t="shared" si="45"/>
        <v>15745.64</v>
      </c>
      <c r="AG74" s="7">
        <f t="shared" si="45"/>
        <v>0</v>
      </c>
      <c r="AH74" s="7">
        <f t="shared" si="45"/>
        <v>22.923539999999999</v>
      </c>
      <c r="AI74" s="7">
        <f t="shared" si="45"/>
        <v>0.1134</v>
      </c>
      <c r="AJ74" s="7">
        <f t="shared" si="45"/>
        <v>0</v>
      </c>
      <c r="AK74" s="7">
        <f t="shared" si="45"/>
        <v>16056.43</v>
      </c>
      <c r="AL74" s="7">
        <f t="shared" si="45"/>
        <v>8029.12</v>
      </c>
      <c r="AM74" s="7">
        <f t="shared" si="45"/>
        <v>0</v>
      </c>
      <c r="AN74" s="7">
        <f t="shared" si="45"/>
        <v>0</v>
      </c>
      <c r="AO74" s="7">
        <f t="shared" si="45"/>
        <v>0</v>
      </c>
      <c r="AP74" s="7">
        <f t="shared" si="45"/>
        <v>0</v>
      </c>
      <c r="AQ74" s="7">
        <f t="shared" si="45"/>
        <v>0</v>
      </c>
      <c r="AR74" s="7">
        <f t="shared" si="45"/>
        <v>69621.2</v>
      </c>
      <c r="AS74" s="7">
        <f t="shared" si="45"/>
        <v>69621.2</v>
      </c>
      <c r="AT74" s="7">
        <f t="shared" si="45"/>
        <v>0</v>
      </c>
      <c r="AU74" s="7">
        <f t="shared" ref="AU74:BZ74" si="46">AU93</f>
        <v>0</v>
      </c>
      <c r="AV74" s="7">
        <f t="shared" si="46"/>
        <v>29621.1</v>
      </c>
      <c r="AW74" s="7">
        <f t="shared" si="46"/>
        <v>29621.1</v>
      </c>
      <c r="AX74" s="7">
        <f t="shared" si="46"/>
        <v>0</v>
      </c>
      <c r="AY74" s="7">
        <f t="shared" si="46"/>
        <v>29621.1</v>
      </c>
      <c r="AZ74" s="7">
        <f t="shared" si="46"/>
        <v>0</v>
      </c>
      <c r="BA74" s="7">
        <f t="shared" si="46"/>
        <v>0</v>
      </c>
      <c r="BB74" s="7">
        <f t="shared" si="46"/>
        <v>0</v>
      </c>
      <c r="BC74" s="7">
        <f t="shared" si="46"/>
        <v>0</v>
      </c>
      <c r="BD74" s="7">
        <f t="shared" si="46"/>
        <v>0</v>
      </c>
      <c r="BE74" s="7">
        <f t="shared" si="46"/>
        <v>0</v>
      </c>
      <c r="BF74" s="7">
        <f t="shared" si="46"/>
        <v>0</v>
      </c>
      <c r="BG74" s="7">
        <f t="shared" si="46"/>
        <v>0</v>
      </c>
      <c r="BH74" s="7">
        <f t="shared" si="46"/>
        <v>0</v>
      </c>
      <c r="BI74" s="7">
        <f t="shared" si="46"/>
        <v>0</v>
      </c>
      <c r="BJ74" s="7">
        <f t="shared" si="46"/>
        <v>0</v>
      </c>
      <c r="BK74" s="7">
        <f t="shared" si="46"/>
        <v>0</v>
      </c>
      <c r="BL74" s="7">
        <f t="shared" si="46"/>
        <v>0</v>
      </c>
      <c r="BM74" s="7">
        <f t="shared" si="46"/>
        <v>0</v>
      </c>
      <c r="BN74" s="7">
        <f t="shared" si="46"/>
        <v>0</v>
      </c>
      <c r="BO74" s="7">
        <f t="shared" si="46"/>
        <v>0</v>
      </c>
      <c r="BP74" s="7">
        <f t="shared" si="46"/>
        <v>0</v>
      </c>
      <c r="BQ74" s="7">
        <f t="shared" si="46"/>
        <v>0</v>
      </c>
      <c r="BR74" s="7">
        <f t="shared" si="46"/>
        <v>0</v>
      </c>
      <c r="BS74" s="7">
        <f t="shared" si="46"/>
        <v>0</v>
      </c>
      <c r="BT74" s="7">
        <f t="shared" si="46"/>
        <v>0</v>
      </c>
      <c r="BU74" s="7">
        <f t="shared" si="46"/>
        <v>0</v>
      </c>
      <c r="BV74" s="7">
        <f t="shared" si="46"/>
        <v>0</v>
      </c>
      <c r="BW74" s="7">
        <f t="shared" si="46"/>
        <v>0</v>
      </c>
      <c r="BX74" s="7">
        <f t="shared" si="46"/>
        <v>0</v>
      </c>
      <c r="BY74" s="7">
        <f t="shared" si="46"/>
        <v>0</v>
      </c>
      <c r="BZ74" s="7">
        <f t="shared" si="46"/>
        <v>0</v>
      </c>
      <c r="CA74" s="7">
        <f t="shared" ref="CA74:DF74" si="47">CA93</f>
        <v>69621.2</v>
      </c>
      <c r="CB74" s="7">
        <f t="shared" si="47"/>
        <v>69621.2</v>
      </c>
      <c r="CC74" s="7">
        <f t="shared" si="47"/>
        <v>0</v>
      </c>
      <c r="CD74" s="7">
        <f t="shared" si="47"/>
        <v>0</v>
      </c>
      <c r="CE74" s="7">
        <f t="shared" si="47"/>
        <v>29621.1</v>
      </c>
      <c r="CF74" s="7">
        <f t="shared" si="47"/>
        <v>29621.1</v>
      </c>
      <c r="CG74" s="7">
        <f t="shared" si="47"/>
        <v>0</v>
      </c>
      <c r="CH74" s="7">
        <f t="shared" si="47"/>
        <v>29621.1</v>
      </c>
      <c r="CI74" s="7">
        <f t="shared" si="47"/>
        <v>0</v>
      </c>
      <c r="CJ74" s="7">
        <f t="shared" si="47"/>
        <v>0</v>
      </c>
      <c r="CK74" s="7">
        <f t="shared" si="47"/>
        <v>0</v>
      </c>
      <c r="CL74" s="7">
        <f t="shared" si="47"/>
        <v>0</v>
      </c>
      <c r="CM74" s="7">
        <f t="shared" si="47"/>
        <v>0</v>
      </c>
      <c r="CN74" s="7">
        <f t="shared" si="47"/>
        <v>0</v>
      </c>
      <c r="CO74" s="7">
        <f t="shared" si="47"/>
        <v>0</v>
      </c>
      <c r="CP74" s="7">
        <f t="shared" si="47"/>
        <v>0</v>
      </c>
      <c r="CQ74" s="7">
        <f t="shared" si="47"/>
        <v>0</v>
      </c>
      <c r="CR74" s="7">
        <f t="shared" si="47"/>
        <v>0</v>
      </c>
      <c r="CS74" s="7">
        <f t="shared" si="47"/>
        <v>0</v>
      </c>
      <c r="CT74" s="7">
        <f t="shared" si="47"/>
        <v>0</v>
      </c>
      <c r="CU74" s="7">
        <f t="shared" si="47"/>
        <v>0</v>
      </c>
      <c r="CV74" s="7">
        <f t="shared" si="47"/>
        <v>0</v>
      </c>
      <c r="CW74" s="7">
        <f t="shared" si="47"/>
        <v>0</v>
      </c>
      <c r="CX74" s="7">
        <f t="shared" si="47"/>
        <v>0</v>
      </c>
      <c r="CY74" s="7">
        <f t="shared" si="47"/>
        <v>0</v>
      </c>
      <c r="CZ74" s="7">
        <f t="shared" si="47"/>
        <v>0</v>
      </c>
      <c r="DA74" s="7">
        <f t="shared" si="47"/>
        <v>0</v>
      </c>
      <c r="DB74" s="7">
        <f t="shared" si="47"/>
        <v>0</v>
      </c>
      <c r="DC74" s="7">
        <f t="shared" si="47"/>
        <v>0</v>
      </c>
      <c r="DD74" s="7">
        <f t="shared" si="47"/>
        <v>0</v>
      </c>
      <c r="DE74" s="7">
        <f t="shared" si="47"/>
        <v>0</v>
      </c>
      <c r="DF74" s="7">
        <f t="shared" si="47"/>
        <v>0</v>
      </c>
      <c r="DG74" s="5">
        <f t="shared" ref="DG74:EL74" si="48">DG93</f>
        <v>0</v>
      </c>
      <c r="DH74" s="5">
        <f t="shared" si="48"/>
        <v>0</v>
      </c>
      <c r="DI74" s="5">
        <f t="shared" si="48"/>
        <v>0</v>
      </c>
      <c r="DJ74" s="5">
        <f t="shared" si="48"/>
        <v>0</v>
      </c>
      <c r="DK74" s="5">
        <f t="shared" si="48"/>
        <v>0</v>
      </c>
      <c r="DL74" s="5">
        <f t="shared" si="48"/>
        <v>0</v>
      </c>
      <c r="DM74" s="5">
        <f t="shared" si="48"/>
        <v>0</v>
      </c>
      <c r="DN74" s="5">
        <f t="shared" si="48"/>
        <v>0</v>
      </c>
      <c r="DO74" s="5">
        <f t="shared" si="48"/>
        <v>0</v>
      </c>
      <c r="DP74" s="5">
        <f t="shared" si="48"/>
        <v>0</v>
      </c>
      <c r="DQ74" s="5">
        <f t="shared" si="48"/>
        <v>0</v>
      </c>
      <c r="DR74" s="5">
        <f t="shared" si="48"/>
        <v>0</v>
      </c>
      <c r="DS74" s="5">
        <f t="shared" si="48"/>
        <v>0</v>
      </c>
      <c r="DT74" s="5">
        <f t="shared" si="48"/>
        <v>0</v>
      </c>
      <c r="DU74" s="5">
        <f t="shared" si="48"/>
        <v>0</v>
      </c>
      <c r="DV74" s="5">
        <f t="shared" si="48"/>
        <v>0</v>
      </c>
      <c r="DW74" s="5">
        <f t="shared" si="48"/>
        <v>0</v>
      </c>
      <c r="DX74" s="5">
        <f t="shared" si="48"/>
        <v>0</v>
      </c>
      <c r="DY74" s="5">
        <f t="shared" si="48"/>
        <v>0</v>
      </c>
      <c r="DZ74" s="5">
        <f t="shared" si="48"/>
        <v>0</v>
      </c>
      <c r="EA74" s="5">
        <f t="shared" si="48"/>
        <v>0</v>
      </c>
      <c r="EB74" s="5">
        <f t="shared" si="48"/>
        <v>0</v>
      </c>
      <c r="EC74" s="5">
        <f t="shared" si="48"/>
        <v>0</v>
      </c>
      <c r="ED74" s="5">
        <f t="shared" si="48"/>
        <v>0</v>
      </c>
      <c r="EE74" s="5">
        <f t="shared" si="48"/>
        <v>0</v>
      </c>
      <c r="EF74" s="5">
        <f t="shared" si="48"/>
        <v>0</v>
      </c>
      <c r="EG74" s="5">
        <f t="shared" si="48"/>
        <v>0</v>
      </c>
      <c r="EH74" s="5">
        <f t="shared" si="48"/>
        <v>0</v>
      </c>
      <c r="EI74" s="5">
        <f t="shared" si="48"/>
        <v>0</v>
      </c>
      <c r="EJ74" s="5">
        <f t="shared" si="48"/>
        <v>0</v>
      </c>
      <c r="EK74" s="5">
        <f t="shared" si="48"/>
        <v>0</v>
      </c>
      <c r="EL74" s="5">
        <f t="shared" si="48"/>
        <v>0</v>
      </c>
      <c r="EM74" s="5">
        <f t="shared" ref="EM74:FR74" si="49">EM93</f>
        <v>0</v>
      </c>
      <c r="EN74" s="5">
        <f t="shared" si="49"/>
        <v>0</v>
      </c>
      <c r="EO74" s="5">
        <f t="shared" si="49"/>
        <v>0</v>
      </c>
      <c r="EP74" s="5">
        <f t="shared" si="49"/>
        <v>0</v>
      </c>
      <c r="EQ74" s="5">
        <f t="shared" si="49"/>
        <v>0</v>
      </c>
      <c r="ER74" s="5">
        <f t="shared" si="49"/>
        <v>0</v>
      </c>
      <c r="ES74" s="5">
        <f t="shared" si="49"/>
        <v>0</v>
      </c>
      <c r="ET74" s="5">
        <f t="shared" si="49"/>
        <v>0</v>
      </c>
      <c r="EU74" s="5">
        <f t="shared" si="49"/>
        <v>0</v>
      </c>
      <c r="EV74" s="5">
        <f t="shared" si="49"/>
        <v>0</v>
      </c>
      <c r="EW74" s="5">
        <f t="shared" si="49"/>
        <v>0</v>
      </c>
      <c r="EX74" s="5">
        <f t="shared" si="49"/>
        <v>0</v>
      </c>
      <c r="EY74" s="5">
        <f t="shared" si="49"/>
        <v>0</v>
      </c>
      <c r="EZ74" s="5">
        <f t="shared" si="49"/>
        <v>0</v>
      </c>
      <c r="FA74" s="5">
        <f t="shared" si="49"/>
        <v>0</v>
      </c>
      <c r="FB74" s="5">
        <f t="shared" si="49"/>
        <v>0</v>
      </c>
      <c r="FC74" s="5">
        <f t="shared" si="49"/>
        <v>0</v>
      </c>
      <c r="FD74" s="5">
        <f t="shared" si="49"/>
        <v>0</v>
      </c>
      <c r="FE74" s="5">
        <f t="shared" si="49"/>
        <v>0</v>
      </c>
      <c r="FF74" s="5">
        <f t="shared" si="49"/>
        <v>0</v>
      </c>
      <c r="FG74" s="5">
        <f t="shared" si="49"/>
        <v>0</v>
      </c>
      <c r="FH74" s="5">
        <f t="shared" si="49"/>
        <v>0</v>
      </c>
      <c r="FI74" s="5">
        <f t="shared" si="49"/>
        <v>0</v>
      </c>
      <c r="FJ74" s="5">
        <f t="shared" si="49"/>
        <v>0</v>
      </c>
      <c r="FK74" s="5">
        <f t="shared" si="49"/>
        <v>0</v>
      </c>
      <c r="FL74" s="5">
        <f t="shared" si="49"/>
        <v>0</v>
      </c>
      <c r="FM74" s="5">
        <f t="shared" si="49"/>
        <v>0</v>
      </c>
      <c r="FN74" s="5">
        <f t="shared" si="49"/>
        <v>0</v>
      </c>
      <c r="FO74" s="5">
        <f t="shared" si="49"/>
        <v>0</v>
      </c>
      <c r="FP74" s="5">
        <f t="shared" si="49"/>
        <v>0</v>
      </c>
      <c r="FQ74" s="5">
        <f t="shared" si="49"/>
        <v>0</v>
      </c>
      <c r="FR74" s="5">
        <f t="shared" si="49"/>
        <v>0</v>
      </c>
      <c r="FS74" s="5">
        <f t="shared" ref="FS74:GX74" si="50">FS93</f>
        <v>0</v>
      </c>
      <c r="FT74" s="5">
        <f t="shared" si="50"/>
        <v>0</v>
      </c>
      <c r="FU74" s="5">
        <f t="shared" si="50"/>
        <v>0</v>
      </c>
      <c r="FV74" s="5">
        <f t="shared" si="50"/>
        <v>0</v>
      </c>
      <c r="FW74" s="5">
        <f t="shared" si="50"/>
        <v>0</v>
      </c>
      <c r="FX74" s="5">
        <f t="shared" si="50"/>
        <v>0</v>
      </c>
      <c r="FY74" s="5">
        <f t="shared" si="50"/>
        <v>0</v>
      </c>
      <c r="FZ74" s="5">
        <f t="shared" si="50"/>
        <v>0</v>
      </c>
      <c r="GA74" s="5">
        <f t="shared" si="50"/>
        <v>0</v>
      </c>
      <c r="GB74" s="5">
        <f t="shared" si="50"/>
        <v>0</v>
      </c>
      <c r="GC74" s="5">
        <f t="shared" si="50"/>
        <v>0</v>
      </c>
      <c r="GD74" s="5">
        <f t="shared" si="50"/>
        <v>0</v>
      </c>
      <c r="GE74" s="5">
        <f t="shared" si="50"/>
        <v>0</v>
      </c>
      <c r="GF74" s="5">
        <f t="shared" si="50"/>
        <v>0</v>
      </c>
      <c r="GG74" s="5">
        <f t="shared" si="50"/>
        <v>0</v>
      </c>
      <c r="GH74" s="5">
        <f t="shared" si="50"/>
        <v>0</v>
      </c>
      <c r="GI74" s="5">
        <f t="shared" si="50"/>
        <v>0</v>
      </c>
      <c r="GJ74" s="5">
        <f t="shared" si="50"/>
        <v>0</v>
      </c>
      <c r="GK74" s="5">
        <f t="shared" si="50"/>
        <v>0</v>
      </c>
      <c r="GL74" s="5">
        <f t="shared" si="50"/>
        <v>0</v>
      </c>
      <c r="GM74" s="5">
        <f t="shared" si="50"/>
        <v>0</v>
      </c>
      <c r="GN74" s="5">
        <f t="shared" si="50"/>
        <v>0</v>
      </c>
      <c r="GO74" s="5">
        <f t="shared" si="50"/>
        <v>0</v>
      </c>
      <c r="GP74" s="5">
        <f t="shared" si="50"/>
        <v>0</v>
      </c>
      <c r="GQ74" s="5">
        <f t="shared" si="50"/>
        <v>0</v>
      </c>
      <c r="GR74" s="5">
        <f t="shared" si="50"/>
        <v>0</v>
      </c>
      <c r="GS74" s="5">
        <f t="shared" si="50"/>
        <v>0</v>
      </c>
      <c r="GT74" s="5">
        <f t="shared" si="50"/>
        <v>0</v>
      </c>
      <c r="GU74" s="5">
        <f t="shared" si="50"/>
        <v>0</v>
      </c>
      <c r="GV74" s="5">
        <f t="shared" si="50"/>
        <v>0</v>
      </c>
      <c r="GW74" s="5">
        <f t="shared" si="50"/>
        <v>0</v>
      </c>
      <c r="GX74" s="5">
        <f t="shared" si="50"/>
        <v>0</v>
      </c>
    </row>
    <row r="76" spans="1:245" x14ac:dyDescent="0.25">
      <c r="A76">
        <v>17</v>
      </c>
      <c r="B76">
        <v>1</v>
      </c>
      <c r="C76">
        <f>ROW(SmtRes!A62)</f>
        <v>62</v>
      </c>
      <c r="D76">
        <f>ROW(EtalonRes!A63)</f>
        <v>63</v>
      </c>
      <c r="E76" t="s">
        <v>198</v>
      </c>
      <c r="F76" t="s">
        <v>371</v>
      </c>
      <c r="G76" t="s">
        <v>372</v>
      </c>
      <c r="H76" t="s">
        <v>225</v>
      </c>
      <c r="I76">
        <f>ROUND(2/100,7)</f>
        <v>0.02</v>
      </c>
      <c r="J76">
        <v>0</v>
      </c>
      <c r="K76">
        <f>ROUND(2/100,7)</f>
        <v>0.02</v>
      </c>
      <c r="O76">
        <f t="shared" ref="O76:O91" si="51">ROUND(CP76,2)</f>
        <v>2599.41</v>
      </c>
      <c r="P76">
        <f>SUMIF(SmtRes!AQ50:'SmtRes'!AQ62,"=1",SmtRes!DF50:'SmtRes'!DF62)</f>
        <v>42.6</v>
      </c>
      <c r="Q76">
        <f>SUMIF(SmtRes!AQ50:'SmtRes'!AQ62,"=1",SmtRes!DG50:'SmtRes'!DG62)</f>
        <v>22.700000000000003</v>
      </c>
      <c r="R76">
        <f>SUMIF(SmtRes!AQ50:'SmtRes'!AQ62,"=1",SmtRes!DH50:'SmtRes'!DH62)</f>
        <v>9.82</v>
      </c>
      <c r="S76">
        <f>SUMIF(SmtRes!AQ50:'SmtRes'!AQ62,"=1",SmtRes!DI50:'SmtRes'!DI62)</f>
        <v>2524.29</v>
      </c>
      <c r="T76">
        <f t="shared" ref="T76:T91" si="52">ROUND(CU76*I76,2)</f>
        <v>0</v>
      </c>
      <c r="U76">
        <f>SUMIF(SmtRes!AQ50:'SmtRes'!AQ62,"=1",SmtRes!CV50:'SmtRes'!CV62)</f>
        <v>3.496</v>
      </c>
      <c r="V76">
        <f>SUMIF(SmtRes!AQ50:'SmtRes'!AQ62,"=1",SmtRes!CW50:'SmtRes'!CW62)</f>
        <v>1.44E-2</v>
      </c>
      <c r="W76">
        <f t="shared" ref="W76:W91" si="53">ROUND(CX76*I76,2)</f>
        <v>0</v>
      </c>
      <c r="X76">
        <f t="shared" ref="X76:X91" si="54">ROUND(CY76,2)</f>
        <v>2610.13</v>
      </c>
      <c r="Y76">
        <f t="shared" ref="Y76:Y91" si="55">ROUND(CZ76,2)</f>
        <v>1317.74</v>
      </c>
      <c r="AA76">
        <v>78397139</v>
      </c>
      <c r="AB76">
        <f t="shared" ref="AB76:AB91" si="56">ROUND((AC76+AD76+AF76),6)</f>
        <v>129351.40478</v>
      </c>
      <c r="AC76">
        <f>ROUND((SUM(SmtRes!BQ50:'SmtRes'!BQ62)),6)</f>
        <v>2017.79618</v>
      </c>
      <c r="AD76">
        <f>ROUND((((SUM(SmtRes!BR50:'SmtRes'!BR62))-(SUM(SmtRes!BS50:'SmtRes'!BS62)))+AE76),6)</f>
        <v>1119.2686000000001</v>
      </c>
      <c r="AE76">
        <f>ROUND((SUM(SmtRes!BS50:'SmtRes'!BS62)),6)</f>
        <v>490.77719999999999</v>
      </c>
      <c r="AF76">
        <f>ROUND((SUM(SmtRes!BT50:'SmtRes'!BT62)),6)</f>
        <v>126214.34</v>
      </c>
      <c r="AG76">
        <f t="shared" ref="AG76:AG91" si="57">ROUND((AP76),6)</f>
        <v>0</v>
      </c>
      <c r="AH76">
        <f>(SUM(SmtRes!BU50:'SmtRes'!BU62))</f>
        <v>174.8</v>
      </c>
      <c r="AI76">
        <f>(SUM(SmtRes!BV50:'SmtRes'!BV62))</f>
        <v>0.72</v>
      </c>
      <c r="AJ76">
        <f t="shared" ref="AJ76:AJ91" si="58">(AS76)</f>
        <v>0</v>
      </c>
      <c r="AK76">
        <v>129842.18197999999</v>
      </c>
      <c r="AL76">
        <v>2017.79618</v>
      </c>
      <c r="AM76">
        <v>1119.2686000000001</v>
      </c>
      <c r="AN76">
        <v>490.77719999999999</v>
      </c>
      <c r="AO76">
        <v>126214.34</v>
      </c>
      <c r="AP76">
        <v>0</v>
      </c>
      <c r="AQ76">
        <v>174.8</v>
      </c>
      <c r="AR76">
        <v>0.72</v>
      </c>
      <c r="AS76">
        <v>0</v>
      </c>
      <c r="AT76">
        <v>103</v>
      </c>
      <c r="AU76">
        <v>52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</v>
      </c>
      <c r="BD76" t="s">
        <v>332</v>
      </c>
      <c r="BE76" t="s">
        <v>332</v>
      </c>
      <c r="BF76" t="s">
        <v>332</v>
      </c>
      <c r="BG76" t="s">
        <v>332</v>
      </c>
      <c r="BH76">
        <v>0</v>
      </c>
      <c r="BI76">
        <v>1</v>
      </c>
      <c r="BJ76" t="s">
        <v>373</v>
      </c>
      <c r="BM76">
        <v>65007</v>
      </c>
      <c r="BN76">
        <v>0</v>
      </c>
      <c r="BO76" t="s">
        <v>332</v>
      </c>
      <c r="BP76">
        <v>0</v>
      </c>
      <c r="BQ76">
        <v>6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332</v>
      </c>
      <c r="BZ76">
        <v>103</v>
      </c>
      <c r="CA76">
        <v>52</v>
      </c>
      <c r="CB76" t="s">
        <v>332</v>
      </c>
      <c r="CE76">
        <v>0</v>
      </c>
      <c r="CF76">
        <v>0</v>
      </c>
      <c r="CG76">
        <v>0</v>
      </c>
      <c r="CM76">
        <v>0</v>
      </c>
      <c r="CN76" t="s">
        <v>332</v>
      </c>
      <c r="CO76">
        <v>0</v>
      </c>
      <c r="CP76">
        <f t="shared" ref="CP76:CP91" si="59">(P76+Q76+S76+R76)</f>
        <v>2599.4100000000003</v>
      </c>
      <c r="CQ76">
        <f>SUMIF(SmtRes!AQ50:'SmtRes'!AQ62,"=1",SmtRes!AA50:'SmtRes'!AA62)</f>
        <v>109686.28</v>
      </c>
      <c r="CR76">
        <f>SUMIF(SmtRes!AQ50:'SmtRes'!AQ62,"=1",SmtRes!AB50:'SmtRes'!AB62)</f>
        <v>738.37</v>
      </c>
      <c r="CS76">
        <f>SUMIF(SmtRes!AQ50:'SmtRes'!AQ62,"=1",SmtRes!AC50:'SmtRes'!AC62)</f>
        <v>1363.27</v>
      </c>
      <c r="CT76">
        <f>SUMIF(SmtRes!AQ50:'SmtRes'!AQ62,"=1",SmtRes!AD50:'SmtRes'!AD62)</f>
        <v>722.05</v>
      </c>
      <c r="CU76">
        <f t="shared" ref="CU76:CU91" si="60">AG76</f>
        <v>0</v>
      </c>
      <c r="CV76">
        <f>SUMIF(SmtRes!AQ50:'SmtRes'!AQ62,"=1",SmtRes!BU50:'SmtRes'!BU62)</f>
        <v>174.8</v>
      </c>
      <c r="CW76">
        <f>SUMIF(SmtRes!AQ50:'SmtRes'!AQ62,"=1",SmtRes!BV50:'SmtRes'!BV62)</f>
        <v>0.72</v>
      </c>
      <c r="CX76">
        <f t="shared" ref="CX76:CX91" si="61">AJ76</f>
        <v>0</v>
      </c>
      <c r="CY76">
        <f t="shared" ref="CY76:CY91" si="62">(((S76+R76)*AT76)/100)</f>
        <v>2610.1333</v>
      </c>
      <c r="CZ76">
        <f t="shared" ref="CZ76:CZ91" si="63">(((S76+R76)*AU76)/100)</f>
        <v>1317.7372</v>
      </c>
      <c r="DC76" t="s">
        <v>332</v>
      </c>
      <c r="DD76" t="s">
        <v>332</v>
      </c>
      <c r="DE76" t="s">
        <v>332</v>
      </c>
      <c r="DF76" t="s">
        <v>332</v>
      </c>
      <c r="DG76" t="s">
        <v>332</v>
      </c>
      <c r="DH76" t="s">
        <v>332</v>
      </c>
      <c r="DI76" t="s">
        <v>332</v>
      </c>
      <c r="DJ76" t="s">
        <v>332</v>
      </c>
      <c r="DK76" t="s">
        <v>332</v>
      </c>
      <c r="DL76" t="s">
        <v>332</v>
      </c>
      <c r="DM76" t="s">
        <v>332</v>
      </c>
      <c r="DN76">
        <v>0</v>
      </c>
      <c r="DO76">
        <v>0</v>
      </c>
      <c r="DP76">
        <v>1</v>
      </c>
      <c r="DQ76">
        <v>1</v>
      </c>
      <c r="DU76">
        <v>1003</v>
      </c>
      <c r="DV76" t="s">
        <v>225</v>
      </c>
      <c r="DW76" t="s">
        <v>225</v>
      </c>
      <c r="DX76">
        <v>100</v>
      </c>
      <c r="DZ76" t="s">
        <v>332</v>
      </c>
      <c r="EA76" t="s">
        <v>332</v>
      </c>
      <c r="EB76" t="s">
        <v>332</v>
      </c>
      <c r="EC76" t="s">
        <v>332</v>
      </c>
      <c r="EE76">
        <v>77313190</v>
      </c>
      <c r="EF76">
        <v>6</v>
      </c>
      <c r="EG76" t="s">
        <v>349</v>
      </c>
      <c r="EH76">
        <v>99</v>
      </c>
      <c r="EI76" t="s">
        <v>360</v>
      </c>
      <c r="EJ76">
        <v>1</v>
      </c>
      <c r="EK76">
        <v>65007</v>
      </c>
      <c r="EL76" t="s">
        <v>361</v>
      </c>
      <c r="EM76" t="s">
        <v>362</v>
      </c>
      <c r="EO76" t="s">
        <v>332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174.8</v>
      </c>
      <c r="EX76">
        <v>0.72</v>
      </c>
      <c r="EY76">
        <v>0</v>
      </c>
      <c r="FQ76">
        <v>0</v>
      </c>
      <c r="FR76">
        <v>0</v>
      </c>
      <c r="FS76">
        <v>0</v>
      </c>
      <c r="FX76">
        <v>103</v>
      </c>
      <c r="FY76">
        <v>52</v>
      </c>
      <c r="GA76" t="s">
        <v>332</v>
      </c>
      <c r="GD76">
        <v>1</v>
      </c>
      <c r="GF76">
        <v>-3564011</v>
      </c>
      <c r="GG76">
        <v>2</v>
      </c>
      <c r="GH76">
        <v>1</v>
      </c>
      <c r="GI76">
        <v>-2</v>
      </c>
      <c r="GJ76">
        <v>0</v>
      </c>
      <c r="GK76">
        <v>0</v>
      </c>
      <c r="GL76">
        <f t="shared" ref="GL76:GL91" si="64">ROUND(IF(AND(BH76=3,BI76=3,FS76&lt;&gt;0),P76,0),2)</f>
        <v>0</v>
      </c>
      <c r="GM76">
        <f t="shared" ref="GM76:GM91" si="65">ROUND(O76+X76+Y76,2)+GX76</f>
        <v>6527.28</v>
      </c>
      <c r="GN76">
        <f t="shared" ref="GN76:GN91" si="66">IF(OR(BI76=0,BI76=1),GM76-GX76,0)</f>
        <v>6527.28</v>
      </c>
      <c r="GO76">
        <f t="shared" ref="GO76:GO91" si="67">IF(BI76=2,GM76-GX76,0)</f>
        <v>0</v>
      </c>
      <c r="GP76">
        <f t="shared" ref="GP76:GP91" si="68">IF(BI76=4,GM76-GX76,0)</f>
        <v>0</v>
      </c>
      <c r="GR76">
        <v>0</v>
      </c>
      <c r="GS76">
        <v>3</v>
      </c>
      <c r="GT76">
        <v>0</v>
      </c>
      <c r="GU76" t="s">
        <v>332</v>
      </c>
      <c r="GV76">
        <f t="shared" ref="GV76:GV91" si="69">ROUND((GT76),6)</f>
        <v>0</v>
      </c>
      <c r="GW76">
        <v>1</v>
      </c>
      <c r="GX76">
        <f t="shared" ref="GX76:GX91" si="70">ROUND(HC76*I76,2)</f>
        <v>0</v>
      </c>
      <c r="HA76">
        <v>0</v>
      </c>
      <c r="HB76">
        <v>0</v>
      </c>
      <c r="HC76">
        <f t="shared" ref="HC76:HC91" si="71">GV76*GW76</f>
        <v>0</v>
      </c>
      <c r="HE76" t="s">
        <v>332</v>
      </c>
      <c r="HF76" t="s">
        <v>332</v>
      </c>
      <c r="HM76" t="s">
        <v>332</v>
      </c>
      <c r="HN76" t="s">
        <v>90</v>
      </c>
      <c r="HO76" t="s">
        <v>92</v>
      </c>
      <c r="HP76" t="s">
        <v>361</v>
      </c>
      <c r="HQ76" t="s">
        <v>361</v>
      </c>
      <c r="HS76">
        <v>0</v>
      </c>
      <c r="IK76">
        <v>0</v>
      </c>
    </row>
    <row r="77" spans="1:245" x14ac:dyDescent="0.25">
      <c r="A77">
        <v>18</v>
      </c>
      <c r="B77">
        <v>1</v>
      </c>
      <c r="C77">
        <v>60</v>
      </c>
      <c r="E77" t="s">
        <v>477</v>
      </c>
      <c r="F77" t="s">
        <v>375</v>
      </c>
      <c r="G77" t="s">
        <v>376</v>
      </c>
      <c r="H77" t="s">
        <v>69</v>
      </c>
      <c r="I77">
        <f>I76*J77</f>
        <v>2</v>
      </c>
      <c r="J77">
        <v>100</v>
      </c>
      <c r="K77">
        <v>100</v>
      </c>
      <c r="O77">
        <f t="shared" si="51"/>
        <v>1536.66</v>
      </c>
      <c r="P77">
        <f>ROUND(CQ77*I77,2)</f>
        <v>1536.66</v>
      </c>
      <c r="Q77">
        <f>ROUND(CR77*I77,2)</f>
        <v>0</v>
      </c>
      <c r="R77">
        <f>ROUND(CS77*I77,2)</f>
        <v>0</v>
      </c>
      <c r="S77">
        <f>ROUND(CT77*I77,2)</f>
        <v>0</v>
      </c>
      <c r="T77">
        <f t="shared" si="52"/>
        <v>0</v>
      </c>
      <c r="U77">
        <f>ROUND(CV77*I77,7)</f>
        <v>0</v>
      </c>
      <c r="V77">
        <f>ROUND(CW77*I77,7)</f>
        <v>0</v>
      </c>
      <c r="W77">
        <f t="shared" si="53"/>
        <v>0</v>
      </c>
      <c r="X77">
        <f t="shared" si="54"/>
        <v>0</v>
      </c>
      <c r="Y77">
        <f t="shared" si="55"/>
        <v>0</v>
      </c>
      <c r="AA77">
        <v>78397139</v>
      </c>
      <c r="AB77">
        <f t="shared" si="56"/>
        <v>960.41</v>
      </c>
      <c r="AC77">
        <f>ROUND((ES77),6)</f>
        <v>960.41</v>
      </c>
      <c r="AD77">
        <f>ROUND((((ET77)-(EU77))+AE77),6)</f>
        <v>0</v>
      </c>
      <c r="AE77">
        <f t="shared" ref="AE77:AF79" si="72">ROUND((EU77),6)</f>
        <v>0</v>
      </c>
      <c r="AF77">
        <f t="shared" si="72"/>
        <v>0</v>
      </c>
      <c r="AG77">
        <f t="shared" si="57"/>
        <v>0</v>
      </c>
      <c r="AH77">
        <f t="shared" ref="AH77:AI79" si="73">(EW77)</f>
        <v>0</v>
      </c>
      <c r="AI77">
        <f t="shared" si="73"/>
        <v>0</v>
      </c>
      <c r="AJ77">
        <f t="shared" si="58"/>
        <v>0</v>
      </c>
      <c r="AK77">
        <v>960.41</v>
      </c>
      <c r="AL77">
        <v>960.41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52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0.8</v>
      </c>
      <c r="BD77" t="s">
        <v>332</v>
      </c>
      <c r="BE77" t="s">
        <v>332</v>
      </c>
      <c r="BF77" t="s">
        <v>332</v>
      </c>
      <c r="BG77" t="s">
        <v>332</v>
      </c>
      <c r="BH77">
        <v>3</v>
      </c>
      <c r="BI77">
        <v>1</v>
      </c>
      <c r="BJ77" t="s">
        <v>377</v>
      </c>
      <c r="BM77">
        <v>65007</v>
      </c>
      <c r="BN77">
        <v>0</v>
      </c>
      <c r="BO77" t="s">
        <v>375</v>
      </c>
      <c r="BP77">
        <v>1</v>
      </c>
      <c r="BQ77">
        <v>6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332</v>
      </c>
      <c r="BZ77">
        <v>103</v>
      </c>
      <c r="CA77">
        <v>52</v>
      </c>
      <c r="CB77" t="s">
        <v>332</v>
      </c>
      <c r="CE77">
        <v>0</v>
      </c>
      <c r="CF77">
        <v>0</v>
      </c>
      <c r="CG77">
        <v>0</v>
      </c>
      <c r="CM77">
        <v>0</v>
      </c>
      <c r="CN77" t="s">
        <v>332</v>
      </c>
      <c r="CO77">
        <v>0</v>
      </c>
      <c r="CP77">
        <f t="shared" si="59"/>
        <v>1536.66</v>
      </c>
      <c r="CQ77">
        <f>ROUND(AL77*BC77,2)</f>
        <v>768.33</v>
      </c>
      <c r="CR77">
        <f>ROUND(AM77*BB77,2)</f>
        <v>0</v>
      </c>
      <c r="CS77">
        <f>ROUND(AN77*BS77,2)</f>
        <v>0</v>
      </c>
      <c r="CT77">
        <f>ROUND(AO77*BA77,2)</f>
        <v>0</v>
      </c>
      <c r="CU77">
        <f t="shared" si="60"/>
        <v>0</v>
      </c>
      <c r="CV77">
        <f t="shared" ref="CV77:CW79" si="74">AH77</f>
        <v>0</v>
      </c>
      <c r="CW77">
        <f t="shared" si="74"/>
        <v>0</v>
      </c>
      <c r="CX77">
        <f t="shared" si="61"/>
        <v>0</v>
      </c>
      <c r="CY77">
        <f t="shared" si="62"/>
        <v>0</v>
      </c>
      <c r="CZ77">
        <f t="shared" si="63"/>
        <v>0</v>
      </c>
      <c r="DC77" t="s">
        <v>332</v>
      </c>
      <c r="DD77" t="s">
        <v>332</v>
      </c>
      <c r="DE77" t="s">
        <v>332</v>
      </c>
      <c r="DF77" t="s">
        <v>332</v>
      </c>
      <c r="DG77" t="s">
        <v>332</v>
      </c>
      <c r="DH77" t="s">
        <v>332</v>
      </c>
      <c r="DI77" t="s">
        <v>332</v>
      </c>
      <c r="DJ77" t="s">
        <v>332</v>
      </c>
      <c r="DK77" t="s">
        <v>332</v>
      </c>
      <c r="DL77" t="s">
        <v>332</v>
      </c>
      <c r="DM77" t="s">
        <v>332</v>
      </c>
      <c r="DN77">
        <v>0</v>
      </c>
      <c r="DO77">
        <v>0</v>
      </c>
      <c r="DP77">
        <v>1</v>
      </c>
      <c r="DQ77">
        <v>1</v>
      </c>
      <c r="DU77">
        <v>1003</v>
      </c>
      <c r="DV77" t="s">
        <v>69</v>
      </c>
      <c r="DW77" t="s">
        <v>69</v>
      </c>
      <c r="DX77">
        <v>1</v>
      </c>
      <c r="DZ77" t="s">
        <v>332</v>
      </c>
      <c r="EA77" t="s">
        <v>332</v>
      </c>
      <c r="EB77" t="s">
        <v>332</v>
      </c>
      <c r="EC77" t="s">
        <v>332</v>
      </c>
      <c r="EE77">
        <v>77313190</v>
      </c>
      <c r="EF77">
        <v>6</v>
      </c>
      <c r="EG77" t="s">
        <v>349</v>
      </c>
      <c r="EH77">
        <v>99</v>
      </c>
      <c r="EI77" t="s">
        <v>360</v>
      </c>
      <c r="EJ77">
        <v>1</v>
      </c>
      <c r="EK77">
        <v>65007</v>
      </c>
      <c r="EL77" t="s">
        <v>361</v>
      </c>
      <c r="EM77" t="s">
        <v>362</v>
      </c>
      <c r="EO77" t="s">
        <v>332</v>
      </c>
      <c r="EQ77">
        <v>0</v>
      </c>
      <c r="ER77">
        <v>960.41</v>
      </c>
      <c r="ES77">
        <v>960.41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v>0</v>
      </c>
      <c r="FS77">
        <v>0</v>
      </c>
      <c r="FX77">
        <v>103</v>
      </c>
      <c r="FY77">
        <v>52</v>
      </c>
      <c r="GA77" t="s">
        <v>332</v>
      </c>
      <c r="GD77">
        <v>1</v>
      </c>
      <c r="GF77">
        <v>-1460447525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64"/>
        <v>0</v>
      </c>
      <c r="GM77">
        <f t="shared" si="65"/>
        <v>1536.66</v>
      </c>
      <c r="GN77">
        <f t="shared" si="66"/>
        <v>1536.66</v>
      </c>
      <c r="GO77">
        <f t="shared" si="67"/>
        <v>0</v>
      </c>
      <c r="GP77">
        <f t="shared" si="68"/>
        <v>0</v>
      </c>
      <c r="GR77">
        <v>0</v>
      </c>
      <c r="GS77">
        <v>3</v>
      </c>
      <c r="GT77">
        <v>0</v>
      </c>
      <c r="GU77" t="s">
        <v>332</v>
      </c>
      <c r="GV77">
        <f t="shared" si="69"/>
        <v>0</v>
      </c>
      <c r="GW77">
        <v>1</v>
      </c>
      <c r="GX77">
        <f t="shared" si="70"/>
        <v>0</v>
      </c>
      <c r="HA77">
        <v>0</v>
      </c>
      <c r="HB77">
        <v>0</v>
      </c>
      <c r="HC77">
        <f t="shared" si="71"/>
        <v>0</v>
      </c>
      <c r="HE77" t="s">
        <v>332</v>
      </c>
      <c r="HF77" t="s">
        <v>332</v>
      </c>
      <c r="HM77" t="s">
        <v>332</v>
      </c>
      <c r="HN77" t="s">
        <v>90</v>
      </c>
      <c r="HO77" t="s">
        <v>92</v>
      </c>
      <c r="HP77" t="s">
        <v>361</v>
      </c>
      <c r="HQ77" t="s">
        <v>361</v>
      </c>
      <c r="HS77">
        <v>0</v>
      </c>
      <c r="IK77">
        <v>0</v>
      </c>
    </row>
    <row r="78" spans="1:245" x14ac:dyDescent="0.25">
      <c r="A78">
        <v>18</v>
      </c>
      <c r="B78">
        <v>1</v>
      </c>
      <c r="C78">
        <v>62</v>
      </c>
      <c r="E78" t="s">
        <v>478</v>
      </c>
      <c r="F78" t="s">
        <v>379</v>
      </c>
      <c r="G78" t="s">
        <v>380</v>
      </c>
      <c r="H78" t="s">
        <v>366</v>
      </c>
      <c r="I78">
        <f>I76*J78</f>
        <v>2</v>
      </c>
      <c r="J78">
        <v>100</v>
      </c>
      <c r="K78">
        <v>100</v>
      </c>
      <c r="O78">
        <f t="shared" si="51"/>
        <v>324.77999999999997</v>
      </c>
      <c r="P78">
        <f>ROUND(CQ78*I78,2)</f>
        <v>324.77999999999997</v>
      </c>
      <c r="Q78">
        <f>ROUND(CR78*I78,2)</f>
        <v>0</v>
      </c>
      <c r="R78">
        <f>ROUND(CS78*I78,2)</f>
        <v>0</v>
      </c>
      <c r="S78">
        <f>ROUND(CT78*I78,2)</f>
        <v>0</v>
      </c>
      <c r="T78">
        <f t="shared" si="52"/>
        <v>0</v>
      </c>
      <c r="U78">
        <f>ROUND(CV78*I78,7)</f>
        <v>0</v>
      </c>
      <c r="V78">
        <f>ROUND(CW78*I78,7)</f>
        <v>0</v>
      </c>
      <c r="W78">
        <f t="shared" si="53"/>
        <v>0</v>
      </c>
      <c r="X78">
        <f t="shared" si="54"/>
        <v>0</v>
      </c>
      <c r="Y78">
        <f t="shared" si="55"/>
        <v>0</v>
      </c>
      <c r="AA78">
        <v>78397139</v>
      </c>
      <c r="AB78">
        <f t="shared" si="56"/>
        <v>130.96</v>
      </c>
      <c r="AC78">
        <f>ROUND((ES78),6)</f>
        <v>130.96</v>
      </c>
      <c r="AD78">
        <f>ROUND((((ET78)-(EU78))+AE78),6)</f>
        <v>0</v>
      </c>
      <c r="AE78">
        <f t="shared" si="72"/>
        <v>0</v>
      </c>
      <c r="AF78">
        <f t="shared" si="72"/>
        <v>0</v>
      </c>
      <c r="AG78">
        <f t="shared" si="57"/>
        <v>0</v>
      </c>
      <c r="AH78">
        <f t="shared" si="73"/>
        <v>0</v>
      </c>
      <c r="AI78">
        <f t="shared" si="73"/>
        <v>0</v>
      </c>
      <c r="AJ78">
        <f t="shared" si="58"/>
        <v>0</v>
      </c>
      <c r="AK78">
        <v>130.96</v>
      </c>
      <c r="AL78">
        <v>130.96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103</v>
      </c>
      <c r="AU78">
        <v>52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1.24</v>
      </c>
      <c r="BD78" t="s">
        <v>332</v>
      </c>
      <c r="BE78" t="s">
        <v>332</v>
      </c>
      <c r="BF78" t="s">
        <v>332</v>
      </c>
      <c r="BG78" t="s">
        <v>332</v>
      </c>
      <c r="BH78">
        <v>3</v>
      </c>
      <c r="BI78">
        <v>1</v>
      </c>
      <c r="BJ78" t="s">
        <v>381</v>
      </c>
      <c r="BM78">
        <v>65007</v>
      </c>
      <c r="BN78">
        <v>0</v>
      </c>
      <c r="BO78" t="s">
        <v>379</v>
      </c>
      <c r="BP78">
        <v>1</v>
      </c>
      <c r="BQ78">
        <v>6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332</v>
      </c>
      <c r="BZ78">
        <v>103</v>
      </c>
      <c r="CA78">
        <v>52</v>
      </c>
      <c r="CB78" t="s">
        <v>332</v>
      </c>
      <c r="CE78">
        <v>0</v>
      </c>
      <c r="CF78">
        <v>0</v>
      </c>
      <c r="CG78">
        <v>0</v>
      </c>
      <c r="CM78">
        <v>0</v>
      </c>
      <c r="CN78" t="s">
        <v>332</v>
      </c>
      <c r="CO78">
        <v>0</v>
      </c>
      <c r="CP78">
        <f t="shared" si="59"/>
        <v>324.77999999999997</v>
      </c>
      <c r="CQ78">
        <f>ROUND(AL78*BC78,2)</f>
        <v>162.38999999999999</v>
      </c>
      <c r="CR78">
        <f>ROUND(AM78*BB78,2)</f>
        <v>0</v>
      </c>
      <c r="CS78">
        <f>ROUND(AN78*BS78,2)</f>
        <v>0</v>
      </c>
      <c r="CT78">
        <f>ROUND(AO78*BA78,2)</f>
        <v>0</v>
      </c>
      <c r="CU78">
        <f t="shared" si="60"/>
        <v>0</v>
      </c>
      <c r="CV78">
        <f t="shared" si="74"/>
        <v>0</v>
      </c>
      <c r="CW78">
        <f t="shared" si="74"/>
        <v>0</v>
      </c>
      <c r="CX78">
        <f t="shared" si="61"/>
        <v>0</v>
      </c>
      <c r="CY78">
        <f t="shared" si="62"/>
        <v>0</v>
      </c>
      <c r="CZ78">
        <f t="shared" si="63"/>
        <v>0</v>
      </c>
      <c r="DC78" t="s">
        <v>332</v>
      </c>
      <c r="DD78" t="s">
        <v>332</v>
      </c>
      <c r="DE78" t="s">
        <v>332</v>
      </c>
      <c r="DF78" t="s">
        <v>332</v>
      </c>
      <c r="DG78" t="s">
        <v>332</v>
      </c>
      <c r="DH78" t="s">
        <v>332</v>
      </c>
      <c r="DI78" t="s">
        <v>332</v>
      </c>
      <c r="DJ78" t="s">
        <v>332</v>
      </c>
      <c r="DK78" t="s">
        <v>332</v>
      </c>
      <c r="DL78" t="s">
        <v>332</v>
      </c>
      <c r="DM78" t="s">
        <v>332</v>
      </c>
      <c r="DN78">
        <v>0</v>
      </c>
      <c r="DO78">
        <v>0</v>
      </c>
      <c r="DP78">
        <v>1</v>
      </c>
      <c r="DQ78">
        <v>1</v>
      </c>
      <c r="DU78">
        <v>1013</v>
      </c>
      <c r="DV78" t="s">
        <v>366</v>
      </c>
      <c r="DW78" t="s">
        <v>366</v>
      </c>
      <c r="DX78">
        <v>1</v>
      </c>
      <c r="DZ78" t="s">
        <v>332</v>
      </c>
      <c r="EA78" t="s">
        <v>332</v>
      </c>
      <c r="EB78" t="s">
        <v>332</v>
      </c>
      <c r="EC78" t="s">
        <v>332</v>
      </c>
      <c r="EE78">
        <v>77313190</v>
      </c>
      <c r="EF78">
        <v>6</v>
      </c>
      <c r="EG78" t="s">
        <v>349</v>
      </c>
      <c r="EH78">
        <v>99</v>
      </c>
      <c r="EI78" t="s">
        <v>360</v>
      </c>
      <c r="EJ78">
        <v>1</v>
      </c>
      <c r="EK78">
        <v>65007</v>
      </c>
      <c r="EL78" t="s">
        <v>361</v>
      </c>
      <c r="EM78" t="s">
        <v>362</v>
      </c>
      <c r="EO78" t="s">
        <v>332</v>
      </c>
      <c r="EQ78">
        <v>0</v>
      </c>
      <c r="ER78">
        <v>130.96</v>
      </c>
      <c r="ES78">
        <v>130.96</v>
      </c>
      <c r="ET78">
        <v>0</v>
      </c>
      <c r="EU78">
        <v>0</v>
      </c>
      <c r="EV78">
        <v>0</v>
      </c>
      <c r="EW78">
        <v>0</v>
      </c>
      <c r="EX78">
        <v>0</v>
      </c>
      <c r="FQ78">
        <v>0</v>
      </c>
      <c r="FR78">
        <v>0</v>
      </c>
      <c r="FS78">
        <v>0</v>
      </c>
      <c r="FX78">
        <v>103</v>
      </c>
      <c r="FY78">
        <v>52</v>
      </c>
      <c r="GA78" t="s">
        <v>332</v>
      </c>
      <c r="GD78">
        <v>1</v>
      </c>
      <c r="GF78">
        <v>-421326667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64"/>
        <v>0</v>
      </c>
      <c r="GM78">
        <f t="shared" si="65"/>
        <v>324.77999999999997</v>
      </c>
      <c r="GN78">
        <f t="shared" si="66"/>
        <v>324.77999999999997</v>
      </c>
      <c r="GO78">
        <f t="shared" si="67"/>
        <v>0</v>
      </c>
      <c r="GP78">
        <f t="shared" si="68"/>
        <v>0</v>
      </c>
      <c r="GR78">
        <v>0</v>
      </c>
      <c r="GS78">
        <v>3</v>
      </c>
      <c r="GT78">
        <v>0</v>
      </c>
      <c r="GU78" t="s">
        <v>332</v>
      </c>
      <c r="GV78">
        <f t="shared" si="69"/>
        <v>0</v>
      </c>
      <c r="GW78">
        <v>1</v>
      </c>
      <c r="GX78">
        <f t="shared" si="70"/>
        <v>0</v>
      </c>
      <c r="HA78">
        <v>0</v>
      </c>
      <c r="HB78">
        <v>0</v>
      </c>
      <c r="HC78">
        <f t="shared" si="71"/>
        <v>0</v>
      </c>
      <c r="HE78" t="s">
        <v>332</v>
      </c>
      <c r="HF78" t="s">
        <v>332</v>
      </c>
      <c r="HM78" t="s">
        <v>332</v>
      </c>
      <c r="HN78" t="s">
        <v>90</v>
      </c>
      <c r="HO78" t="s">
        <v>92</v>
      </c>
      <c r="HP78" t="s">
        <v>361</v>
      </c>
      <c r="HQ78" t="s">
        <v>361</v>
      </c>
      <c r="HS78">
        <v>0</v>
      </c>
      <c r="IK78">
        <v>0</v>
      </c>
    </row>
    <row r="79" spans="1:245" x14ac:dyDescent="0.25">
      <c r="A79">
        <v>18</v>
      </c>
      <c r="B79">
        <v>1</v>
      </c>
      <c r="C79">
        <v>61</v>
      </c>
      <c r="E79" t="s">
        <v>479</v>
      </c>
      <c r="F79" t="s">
        <v>480</v>
      </c>
      <c r="G79" t="s">
        <v>481</v>
      </c>
      <c r="H79" t="s">
        <v>366</v>
      </c>
      <c r="I79">
        <f>I76*J79</f>
        <v>1</v>
      </c>
      <c r="J79">
        <v>50</v>
      </c>
      <c r="K79">
        <v>50</v>
      </c>
      <c r="O79">
        <f t="shared" si="51"/>
        <v>397.84</v>
      </c>
      <c r="P79">
        <f>ROUND(CQ79*I79,2)</f>
        <v>397.84</v>
      </c>
      <c r="Q79">
        <f>ROUND(CR79*I79,2)</f>
        <v>0</v>
      </c>
      <c r="R79">
        <f>ROUND(CS79*I79,2)</f>
        <v>0</v>
      </c>
      <c r="S79">
        <f>ROUND(CT79*I79,2)</f>
        <v>0</v>
      </c>
      <c r="T79">
        <f t="shared" si="52"/>
        <v>0</v>
      </c>
      <c r="U79">
        <f>ROUND(CV79*I79,7)</f>
        <v>0</v>
      </c>
      <c r="V79">
        <f>ROUND(CW79*I79,7)</f>
        <v>0</v>
      </c>
      <c r="W79">
        <f t="shared" si="53"/>
        <v>0</v>
      </c>
      <c r="X79">
        <f t="shared" si="54"/>
        <v>0</v>
      </c>
      <c r="Y79">
        <f t="shared" si="55"/>
        <v>0</v>
      </c>
      <c r="AA79">
        <v>78397139</v>
      </c>
      <c r="AB79">
        <f t="shared" si="56"/>
        <v>397.84</v>
      </c>
      <c r="AC79">
        <f>ROUND((ES79),6)</f>
        <v>397.84</v>
      </c>
      <c r="AD79">
        <f>ROUND((((ET79)-(EU79))+AE79),6)</f>
        <v>0</v>
      </c>
      <c r="AE79">
        <f t="shared" si="72"/>
        <v>0</v>
      </c>
      <c r="AF79">
        <f t="shared" si="72"/>
        <v>0</v>
      </c>
      <c r="AG79">
        <f t="shared" si="57"/>
        <v>0</v>
      </c>
      <c r="AH79">
        <f t="shared" si="73"/>
        <v>0</v>
      </c>
      <c r="AI79">
        <f t="shared" si="73"/>
        <v>0</v>
      </c>
      <c r="AJ79">
        <f t="shared" si="58"/>
        <v>0</v>
      </c>
      <c r="AK79">
        <v>397.84</v>
      </c>
      <c r="AL79">
        <v>397.84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52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332</v>
      </c>
      <c r="BE79" t="s">
        <v>332</v>
      </c>
      <c r="BF79" t="s">
        <v>332</v>
      </c>
      <c r="BG79" t="s">
        <v>332</v>
      </c>
      <c r="BH79">
        <v>3</v>
      </c>
      <c r="BI79">
        <v>1</v>
      </c>
      <c r="BJ79" t="s">
        <v>482</v>
      </c>
      <c r="BM79">
        <v>65007</v>
      </c>
      <c r="BN79">
        <v>0</v>
      </c>
      <c r="BO79" t="s">
        <v>332</v>
      </c>
      <c r="BP79">
        <v>0</v>
      </c>
      <c r="BQ79">
        <v>6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332</v>
      </c>
      <c r="BZ79">
        <v>103</v>
      </c>
      <c r="CA79">
        <v>52</v>
      </c>
      <c r="CB79" t="s">
        <v>332</v>
      </c>
      <c r="CE79">
        <v>0</v>
      </c>
      <c r="CF79">
        <v>0</v>
      </c>
      <c r="CG79">
        <v>0</v>
      </c>
      <c r="CM79">
        <v>0</v>
      </c>
      <c r="CN79" t="s">
        <v>332</v>
      </c>
      <c r="CO79">
        <v>0</v>
      </c>
      <c r="CP79">
        <f t="shared" si="59"/>
        <v>397.84</v>
      </c>
      <c r="CQ79">
        <f>ROUND(AL79*BC79,2)</f>
        <v>397.84</v>
      </c>
      <c r="CR79">
        <f>ROUND(AM79*BB79,2)</f>
        <v>0</v>
      </c>
      <c r="CS79">
        <f>ROUND(AN79*BS79,2)</f>
        <v>0</v>
      </c>
      <c r="CT79">
        <f>ROUND(AO79*BA79,2)</f>
        <v>0</v>
      </c>
      <c r="CU79">
        <f t="shared" si="60"/>
        <v>0</v>
      </c>
      <c r="CV79">
        <f t="shared" si="74"/>
        <v>0</v>
      </c>
      <c r="CW79">
        <f t="shared" si="74"/>
        <v>0</v>
      </c>
      <c r="CX79">
        <f t="shared" si="61"/>
        <v>0</v>
      </c>
      <c r="CY79">
        <f t="shared" si="62"/>
        <v>0</v>
      </c>
      <c r="CZ79">
        <f t="shared" si="63"/>
        <v>0</v>
      </c>
      <c r="DC79" t="s">
        <v>332</v>
      </c>
      <c r="DD79" t="s">
        <v>332</v>
      </c>
      <c r="DE79" t="s">
        <v>332</v>
      </c>
      <c r="DF79" t="s">
        <v>332</v>
      </c>
      <c r="DG79" t="s">
        <v>332</v>
      </c>
      <c r="DH79" t="s">
        <v>332</v>
      </c>
      <c r="DI79" t="s">
        <v>332</v>
      </c>
      <c r="DJ79" t="s">
        <v>332</v>
      </c>
      <c r="DK79" t="s">
        <v>332</v>
      </c>
      <c r="DL79" t="s">
        <v>332</v>
      </c>
      <c r="DM79" t="s">
        <v>332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366</v>
      </c>
      <c r="DW79" t="s">
        <v>366</v>
      </c>
      <c r="DX79">
        <v>1</v>
      </c>
      <c r="DZ79" t="s">
        <v>332</v>
      </c>
      <c r="EA79" t="s">
        <v>332</v>
      </c>
      <c r="EB79" t="s">
        <v>332</v>
      </c>
      <c r="EC79" t="s">
        <v>332</v>
      </c>
      <c r="EE79">
        <v>77313190</v>
      </c>
      <c r="EF79">
        <v>6</v>
      </c>
      <c r="EG79" t="s">
        <v>349</v>
      </c>
      <c r="EH79">
        <v>99</v>
      </c>
      <c r="EI79" t="s">
        <v>360</v>
      </c>
      <c r="EJ79">
        <v>1</v>
      </c>
      <c r="EK79">
        <v>65007</v>
      </c>
      <c r="EL79" t="s">
        <v>361</v>
      </c>
      <c r="EM79" t="s">
        <v>362</v>
      </c>
      <c r="EO79" t="s">
        <v>332</v>
      </c>
      <c r="EQ79">
        <v>0</v>
      </c>
      <c r="ER79">
        <v>397.84</v>
      </c>
      <c r="ES79">
        <v>397.84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v>0</v>
      </c>
      <c r="FS79">
        <v>0</v>
      </c>
      <c r="FX79">
        <v>103</v>
      </c>
      <c r="FY79">
        <v>52</v>
      </c>
      <c r="GA79" t="s">
        <v>332</v>
      </c>
      <c r="GD79">
        <v>1</v>
      </c>
      <c r="GE79">
        <v>364.21</v>
      </c>
      <c r="GF79">
        <v>-1852532145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64"/>
        <v>0</v>
      </c>
      <c r="GM79">
        <f t="shared" si="65"/>
        <v>397.84</v>
      </c>
      <c r="GN79">
        <f t="shared" si="66"/>
        <v>397.84</v>
      </c>
      <c r="GO79">
        <f t="shared" si="67"/>
        <v>0</v>
      </c>
      <c r="GP79">
        <f t="shared" si="68"/>
        <v>0</v>
      </c>
      <c r="GR79">
        <v>3</v>
      </c>
      <c r="GS79">
        <v>3</v>
      </c>
      <c r="GT79">
        <v>0</v>
      </c>
      <c r="GU79" t="s">
        <v>332</v>
      </c>
      <c r="GV79">
        <f t="shared" si="69"/>
        <v>0</v>
      </c>
      <c r="GW79">
        <v>1</v>
      </c>
      <c r="GX79">
        <f t="shared" si="70"/>
        <v>0</v>
      </c>
      <c r="HA79">
        <v>0</v>
      </c>
      <c r="HB79">
        <v>0</v>
      </c>
      <c r="HC79">
        <f t="shared" si="71"/>
        <v>0</v>
      </c>
      <c r="HE79" t="s">
        <v>332</v>
      </c>
      <c r="HF79" t="s">
        <v>332</v>
      </c>
      <c r="HM79" t="s">
        <v>332</v>
      </c>
      <c r="HN79" t="s">
        <v>90</v>
      </c>
      <c r="HO79" t="s">
        <v>92</v>
      </c>
      <c r="HP79" t="s">
        <v>361</v>
      </c>
      <c r="HQ79" t="s">
        <v>361</v>
      </c>
      <c r="HS79">
        <v>0</v>
      </c>
      <c r="IK79">
        <v>0</v>
      </c>
    </row>
    <row r="80" spans="1:245" x14ac:dyDescent="0.25">
      <c r="A80">
        <v>17</v>
      </c>
      <c r="B80">
        <v>1</v>
      </c>
      <c r="C80">
        <f>ROW(SmtRes!A65)</f>
        <v>65</v>
      </c>
      <c r="D80">
        <f>ROW(EtalonRes!A66)</f>
        <v>66</v>
      </c>
      <c r="E80" t="s">
        <v>202</v>
      </c>
      <c r="F80" t="s">
        <v>483</v>
      </c>
      <c r="G80" t="s">
        <v>484</v>
      </c>
      <c r="H80" t="s">
        <v>347</v>
      </c>
      <c r="I80">
        <f>ROUND(2/100,7)</f>
        <v>0.02</v>
      </c>
      <c r="J80">
        <v>0</v>
      </c>
      <c r="K80">
        <f>ROUND(2/100,7)</f>
        <v>0.02</v>
      </c>
      <c r="O80">
        <f t="shared" si="51"/>
        <v>127.2</v>
      </c>
      <c r="P80">
        <f>SUMIF(SmtRes!AQ63:'SmtRes'!AQ65,"=1",SmtRes!DF63:'SmtRes'!DF65)</f>
        <v>0</v>
      </c>
      <c r="Q80">
        <f>SUMIF(SmtRes!AQ63:'SmtRes'!AQ65,"=1",SmtRes!DG63:'SmtRes'!DG65)</f>
        <v>0.23</v>
      </c>
      <c r="R80">
        <f>SUMIF(SmtRes!AQ63:'SmtRes'!AQ65,"=1",SmtRes!DH63:'SmtRes'!DH65)</f>
        <v>2.56</v>
      </c>
      <c r="S80">
        <f>SUMIF(SmtRes!AQ63:'SmtRes'!AQ65,"=1",SmtRes!DI63:'SmtRes'!DI65)</f>
        <v>124.41</v>
      </c>
      <c r="T80">
        <f t="shared" si="52"/>
        <v>0</v>
      </c>
      <c r="U80">
        <f>SUMIF(SmtRes!AQ63:'SmtRes'!AQ65,"=1",SmtRes!CV63:'SmtRes'!CV65)</f>
        <v>0.19159999999999999</v>
      </c>
      <c r="V80">
        <f>SUMIF(SmtRes!AQ63:'SmtRes'!AQ65,"=1",SmtRes!CW63:'SmtRes'!CW65)</f>
        <v>4.0000000000000001E-3</v>
      </c>
      <c r="W80">
        <f t="shared" si="53"/>
        <v>0</v>
      </c>
      <c r="X80">
        <f t="shared" si="54"/>
        <v>114.27</v>
      </c>
      <c r="Y80">
        <f t="shared" si="55"/>
        <v>57.14</v>
      </c>
      <c r="AA80">
        <v>78397139</v>
      </c>
      <c r="AB80">
        <f t="shared" si="56"/>
        <v>6227.7579999999998</v>
      </c>
      <c r="AC80">
        <f>ROUND((0),6)</f>
        <v>0</v>
      </c>
      <c r="AD80">
        <f>ROUND((((SUM(SmtRes!BR63:'SmtRes'!BR65))-(SUM(SmtRes!BS63:'SmtRes'!BS65)))+AE80),6)</f>
        <v>7.4640000000000004</v>
      </c>
      <c r="AE80">
        <f>ROUND((SUM(SmtRes!BS63:'SmtRes'!BS65)),6)</f>
        <v>128.244</v>
      </c>
      <c r="AF80">
        <f>ROUND((SUM(SmtRes!BT63:'SmtRes'!BT65)),6)</f>
        <v>6220.2939999999999</v>
      </c>
      <c r="AG80">
        <f t="shared" si="57"/>
        <v>0</v>
      </c>
      <c r="AH80">
        <f>(SUM(SmtRes!BU63:'SmtRes'!BU65))</f>
        <v>9.58</v>
      </c>
      <c r="AI80">
        <f>(SUM(SmtRes!BV63:'SmtRes'!BV65))</f>
        <v>0.2</v>
      </c>
      <c r="AJ80">
        <f t="shared" si="58"/>
        <v>0</v>
      </c>
      <c r="AK80">
        <v>6356.0020000000004</v>
      </c>
      <c r="AL80">
        <v>0</v>
      </c>
      <c r="AM80">
        <v>7.4640000000000004</v>
      </c>
      <c r="AN80">
        <v>128.244</v>
      </c>
      <c r="AO80">
        <v>6220.2939999999999</v>
      </c>
      <c r="AP80">
        <v>0</v>
      </c>
      <c r="AQ80">
        <v>9.58</v>
      </c>
      <c r="AR80">
        <v>0.2</v>
      </c>
      <c r="AS80">
        <v>0</v>
      </c>
      <c r="AT80">
        <v>90</v>
      </c>
      <c r="AU80">
        <v>45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332</v>
      </c>
      <c r="BE80" t="s">
        <v>332</v>
      </c>
      <c r="BF80" t="s">
        <v>332</v>
      </c>
      <c r="BG80" t="s">
        <v>332</v>
      </c>
      <c r="BH80">
        <v>0</v>
      </c>
      <c r="BI80">
        <v>1</v>
      </c>
      <c r="BJ80" t="s">
        <v>485</v>
      </c>
      <c r="BM80">
        <v>63001</v>
      </c>
      <c r="BN80">
        <v>0</v>
      </c>
      <c r="BO80" t="s">
        <v>332</v>
      </c>
      <c r="BP80">
        <v>0</v>
      </c>
      <c r="BQ80">
        <v>6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332</v>
      </c>
      <c r="BZ80">
        <v>90</v>
      </c>
      <c r="CA80">
        <v>45</v>
      </c>
      <c r="CB80" t="s">
        <v>332</v>
      </c>
      <c r="CE80">
        <v>0</v>
      </c>
      <c r="CF80">
        <v>0</v>
      </c>
      <c r="CG80">
        <v>0</v>
      </c>
      <c r="CM80">
        <v>0</v>
      </c>
      <c r="CN80" t="s">
        <v>332</v>
      </c>
      <c r="CO80">
        <v>0</v>
      </c>
      <c r="CP80">
        <f t="shared" si="59"/>
        <v>127.2</v>
      </c>
      <c r="CQ80">
        <f>SUMIF(SmtRes!AQ63:'SmtRes'!AQ65,"=1",SmtRes!AA63:'SmtRes'!AA65)</f>
        <v>0</v>
      </c>
      <c r="CR80">
        <f>SUMIF(SmtRes!AQ63:'SmtRes'!AQ65,"=1",SmtRes!AB63:'SmtRes'!AB65)</f>
        <v>57.47</v>
      </c>
      <c r="CS80">
        <f>SUMIF(SmtRes!AQ63:'SmtRes'!AQ65,"=1",SmtRes!AC63:'SmtRes'!AC65)</f>
        <v>641.22</v>
      </c>
      <c r="CT80">
        <f>SUMIF(SmtRes!AQ63:'SmtRes'!AQ65,"=1",SmtRes!AD63:'SmtRes'!AD65)</f>
        <v>649.29999999999995</v>
      </c>
      <c r="CU80">
        <f t="shared" si="60"/>
        <v>0</v>
      </c>
      <c r="CV80">
        <f>SUMIF(SmtRes!AQ63:'SmtRes'!AQ65,"=1",SmtRes!BU63:'SmtRes'!BU65)</f>
        <v>9.58</v>
      </c>
      <c r="CW80">
        <f>SUMIF(SmtRes!AQ63:'SmtRes'!AQ65,"=1",SmtRes!BV63:'SmtRes'!BV65)</f>
        <v>0.2</v>
      </c>
      <c r="CX80">
        <f t="shared" si="61"/>
        <v>0</v>
      </c>
      <c r="CY80">
        <f t="shared" si="62"/>
        <v>114.273</v>
      </c>
      <c r="CZ80">
        <f t="shared" si="63"/>
        <v>57.136499999999998</v>
      </c>
      <c r="DC80" t="s">
        <v>332</v>
      </c>
      <c r="DD80" t="s">
        <v>332</v>
      </c>
      <c r="DE80" t="s">
        <v>332</v>
      </c>
      <c r="DF80" t="s">
        <v>332</v>
      </c>
      <c r="DG80" t="s">
        <v>332</v>
      </c>
      <c r="DH80" t="s">
        <v>332</v>
      </c>
      <c r="DI80" t="s">
        <v>332</v>
      </c>
      <c r="DJ80" t="s">
        <v>332</v>
      </c>
      <c r="DK80" t="s">
        <v>332</v>
      </c>
      <c r="DL80" t="s">
        <v>332</v>
      </c>
      <c r="DM80" t="s">
        <v>332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347</v>
      </c>
      <c r="DW80" t="s">
        <v>347</v>
      </c>
      <c r="DX80">
        <v>100</v>
      </c>
      <c r="DZ80" t="s">
        <v>332</v>
      </c>
      <c r="EA80" t="s">
        <v>332</v>
      </c>
      <c r="EB80" t="s">
        <v>332</v>
      </c>
      <c r="EC80" t="s">
        <v>332</v>
      </c>
      <c r="EE80">
        <v>77313176</v>
      </c>
      <c r="EF80">
        <v>6</v>
      </c>
      <c r="EG80" t="s">
        <v>349</v>
      </c>
      <c r="EH80">
        <v>97</v>
      </c>
      <c r="EI80" t="s">
        <v>350</v>
      </c>
      <c r="EJ80">
        <v>1</v>
      </c>
      <c r="EK80">
        <v>63001</v>
      </c>
      <c r="EL80" t="s">
        <v>351</v>
      </c>
      <c r="EM80" t="s">
        <v>352</v>
      </c>
      <c r="EO80" t="s">
        <v>332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9.58</v>
      </c>
      <c r="EX80">
        <v>0.2</v>
      </c>
      <c r="EY80">
        <v>0</v>
      </c>
      <c r="FQ80">
        <v>0</v>
      </c>
      <c r="FR80">
        <v>0</v>
      </c>
      <c r="FS80">
        <v>0</v>
      </c>
      <c r="FX80">
        <v>90</v>
      </c>
      <c r="FY80">
        <v>45</v>
      </c>
      <c r="GA80" t="s">
        <v>332</v>
      </c>
      <c r="GD80">
        <v>1</v>
      </c>
      <c r="GF80">
        <v>82577021</v>
      </c>
      <c r="GG80">
        <v>2</v>
      </c>
      <c r="GH80">
        <v>1</v>
      </c>
      <c r="GI80">
        <v>-2</v>
      </c>
      <c r="GJ80">
        <v>0</v>
      </c>
      <c r="GK80">
        <v>0</v>
      </c>
      <c r="GL80">
        <f t="shared" si="64"/>
        <v>0</v>
      </c>
      <c r="GM80">
        <f t="shared" si="65"/>
        <v>298.61</v>
      </c>
      <c r="GN80">
        <f t="shared" si="66"/>
        <v>298.61</v>
      </c>
      <c r="GO80">
        <f t="shared" si="67"/>
        <v>0</v>
      </c>
      <c r="GP80">
        <f t="shared" si="68"/>
        <v>0</v>
      </c>
      <c r="GR80">
        <v>0</v>
      </c>
      <c r="GS80">
        <v>3</v>
      </c>
      <c r="GT80">
        <v>0</v>
      </c>
      <c r="GU80" t="s">
        <v>332</v>
      </c>
      <c r="GV80">
        <f t="shared" si="69"/>
        <v>0</v>
      </c>
      <c r="GW80">
        <v>1</v>
      </c>
      <c r="GX80">
        <f t="shared" si="70"/>
        <v>0</v>
      </c>
      <c r="HA80">
        <v>0</v>
      </c>
      <c r="HB80">
        <v>0</v>
      </c>
      <c r="HC80">
        <f t="shared" si="71"/>
        <v>0</v>
      </c>
      <c r="HE80" t="s">
        <v>332</v>
      </c>
      <c r="HF80" t="s">
        <v>332</v>
      </c>
      <c r="HM80" t="s">
        <v>332</v>
      </c>
      <c r="HN80" t="s">
        <v>72</v>
      </c>
      <c r="HO80" t="s">
        <v>75</v>
      </c>
      <c r="HP80" t="s">
        <v>351</v>
      </c>
      <c r="HQ80" t="s">
        <v>351</v>
      </c>
      <c r="HS80">
        <v>0</v>
      </c>
      <c r="IK80">
        <v>0</v>
      </c>
    </row>
    <row r="81" spans="1:245" x14ac:dyDescent="0.25">
      <c r="A81">
        <v>17</v>
      </c>
      <c r="B81">
        <v>1</v>
      </c>
      <c r="C81">
        <f>ROW(SmtRes!A89)</f>
        <v>89</v>
      </c>
      <c r="D81">
        <f>ROW(EtalonRes!A90)</f>
        <v>90</v>
      </c>
      <c r="E81" t="s">
        <v>206</v>
      </c>
      <c r="F81" t="s">
        <v>486</v>
      </c>
      <c r="G81" t="s">
        <v>487</v>
      </c>
      <c r="H81" t="s">
        <v>347</v>
      </c>
      <c r="I81">
        <f>ROUND(2/100,7)</f>
        <v>0.02</v>
      </c>
      <c r="J81">
        <v>0</v>
      </c>
      <c r="K81">
        <f>ROUND(2/100,7)</f>
        <v>0.02</v>
      </c>
      <c r="O81">
        <f t="shared" si="51"/>
        <v>2369.3200000000002</v>
      </c>
      <c r="P81">
        <f>SUMIF(SmtRes!AQ66:'SmtRes'!AQ89,"=1",SmtRes!DF66:'SmtRes'!DF89)</f>
        <v>829.7299999999999</v>
      </c>
      <c r="Q81">
        <f>SUMIF(SmtRes!AQ66:'SmtRes'!AQ89,"=1",SmtRes!DG66:'SmtRes'!DG89)</f>
        <v>10.83</v>
      </c>
      <c r="R81">
        <f>SUMIF(SmtRes!AQ66:'SmtRes'!AQ89,"=1",SmtRes!DH66:'SmtRes'!DH89)</f>
        <v>8.0400000000000009</v>
      </c>
      <c r="S81">
        <f>SUMIF(SmtRes!AQ66:'SmtRes'!AQ89,"=1",SmtRes!DI66:'SmtRes'!DI89)</f>
        <v>1520.72</v>
      </c>
      <c r="T81">
        <f t="shared" si="52"/>
        <v>0</v>
      </c>
      <c r="U81">
        <f>SUMIF(SmtRes!AQ66:'SmtRes'!AQ89,"=1",SmtRes!CV66:'SmtRes'!CV89)</f>
        <v>2.2309999999999999</v>
      </c>
      <c r="V81">
        <f>SUMIF(SmtRes!AQ66:'SmtRes'!AQ89,"=1",SmtRes!CW66:'SmtRes'!CW89)</f>
        <v>9.4999999999999998E-3</v>
      </c>
      <c r="W81">
        <f t="shared" si="53"/>
        <v>0</v>
      </c>
      <c r="X81">
        <f t="shared" si="54"/>
        <v>1485.95</v>
      </c>
      <c r="Y81">
        <f t="shared" si="55"/>
        <v>714.7</v>
      </c>
      <c r="AA81">
        <v>78397139</v>
      </c>
      <c r="AB81">
        <f t="shared" si="56"/>
        <v>115303.75642000001</v>
      </c>
      <c r="AC81">
        <f>ROUND((SUM(SmtRes!BQ66:'SmtRes'!BQ89)),6)</f>
        <v>38727.186419999998</v>
      </c>
      <c r="AD81">
        <f>ROUND((((SUM(SmtRes!BR66:'SmtRes'!BR89))-(SUM(SmtRes!BS66:'SmtRes'!BS89)))+AE81),6)</f>
        <v>540.74350000000004</v>
      </c>
      <c r="AE81">
        <f>ROUND((SUM(SmtRes!BS66:'SmtRes'!BS89)),6)</f>
        <v>401.84050000000002</v>
      </c>
      <c r="AF81">
        <f>ROUND((SUM(SmtRes!BT66:'SmtRes'!BT89)),6)</f>
        <v>76035.826499999996</v>
      </c>
      <c r="AG81">
        <f t="shared" si="57"/>
        <v>0</v>
      </c>
      <c r="AH81">
        <f>(SUM(SmtRes!BU66:'SmtRes'!BU89))</f>
        <v>111.55</v>
      </c>
      <c r="AI81">
        <f>(SUM(SmtRes!BV66:'SmtRes'!BV89))</f>
        <v>0.47499999999999998</v>
      </c>
      <c r="AJ81">
        <f t="shared" si="58"/>
        <v>0</v>
      </c>
      <c r="AK81">
        <v>105599.36362</v>
      </c>
      <c r="AL81">
        <v>38727.186419999998</v>
      </c>
      <c r="AM81">
        <v>432.59480000000002</v>
      </c>
      <c r="AN81">
        <v>321.47239999999999</v>
      </c>
      <c r="AO81">
        <v>66118.11</v>
      </c>
      <c r="AP81">
        <v>0</v>
      </c>
      <c r="AQ81">
        <v>97</v>
      </c>
      <c r="AR81">
        <v>0.38</v>
      </c>
      <c r="AS81">
        <v>0</v>
      </c>
      <c r="AT81">
        <v>97.2</v>
      </c>
      <c r="AU81">
        <v>46.75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332</v>
      </c>
      <c r="BE81" t="s">
        <v>332</v>
      </c>
      <c r="BF81" t="s">
        <v>332</v>
      </c>
      <c r="BG81" t="s">
        <v>332</v>
      </c>
      <c r="BH81">
        <v>0</v>
      </c>
      <c r="BI81">
        <v>1</v>
      </c>
      <c r="BJ81" t="s">
        <v>488</v>
      </c>
      <c r="BM81">
        <v>10001</v>
      </c>
      <c r="BN81">
        <v>0</v>
      </c>
      <c r="BO81" t="s">
        <v>332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332</v>
      </c>
      <c r="BZ81">
        <v>108</v>
      </c>
      <c r="CA81">
        <v>55</v>
      </c>
      <c r="CB81" t="s">
        <v>332</v>
      </c>
      <c r="CE81">
        <v>0</v>
      </c>
      <c r="CF81">
        <v>0</v>
      </c>
      <c r="CG81">
        <v>0</v>
      </c>
      <c r="CM81">
        <v>0</v>
      </c>
      <c r="CN81" t="s">
        <v>385</v>
      </c>
      <c r="CO81">
        <v>0</v>
      </c>
      <c r="CP81">
        <f t="shared" si="59"/>
        <v>2369.3199999999997</v>
      </c>
      <c r="CQ81">
        <f>SUMIF(SmtRes!AQ66:'SmtRes'!AQ89,"=1",SmtRes!AA66:'SmtRes'!AA89)</f>
        <v>12873.899999999998</v>
      </c>
      <c r="CR81">
        <f>SUMIF(SmtRes!AQ66:'SmtRes'!AQ89,"=1",SmtRes!AB66:'SmtRes'!AB89)</f>
        <v>2275.98</v>
      </c>
      <c r="CS81">
        <f>SUMIF(SmtRes!AQ66:'SmtRes'!AQ89,"=1",SmtRes!AC66:'SmtRes'!AC89)</f>
        <v>1691.96</v>
      </c>
      <c r="CT81">
        <f>SUMIF(SmtRes!AQ66:'SmtRes'!AQ89,"=1",SmtRes!AD66:'SmtRes'!AD89)</f>
        <v>681.63</v>
      </c>
      <c r="CU81">
        <f t="shared" si="60"/>
        <v>0</v>
      </c>
      <c r="CV81">
        <f>SUMIF(SmtRes!AQ66:'SmtRes'!AQ89,"=1",SmtRes!BU66:'SmtRes'!BU89)</f>
        <v>111.55</v>
      </c>
      <c r="CW81">
        <f>SUMIF(SmtRes!AQ66:'SmtRes'!AQ89,"=1",SmtRes!BV66:'SmtRes'!BV89)</f>
        <v>0.47499999999999998</v>
      </c>
      <c r="CX81">
        <f t="shared" si="61"/>
        <v>0</v>
      </c>
      <c r="CY81">
        <f t="shared" si="62"/>
        <v>1485.9547200000002</v>
      </c>
      <c r="CZ81">
        <f t="shared" si="63"/>
        <v>714.69529999999997</v>
      </c>
      <c r="DB81">
        <v>3</v>
      </c>
      <c r="DC81" t="s">
        <v>332</v>
      </c>
      <c r="DD81" t="s">
        <v>332</v>
      </c>
      <c r="DE81" t="s">
        <v>401</v>
      </c>
      <c r="DF81" t="s">
        <v>401</v>
      </c>
      <c r="DG81" t="s">
        <v>402</v>
      </c>
      <c r="DH81" t="s">
        <v>332</v>
      </c>
      <c r="DI81" t="s">
        <v>402</v>
      </c>
      <c r="DJ81" t="s">
        <v>401</v>
      </c>
      <c r="DK81" t="s">
        <v>332</v>
      </c>
      <c r="DL81" t="s">
        <v>389</v>
      </c>
      <c r="DM81" t="s">
        <v>390</v>
      </c>
      <c r="DN81">
        <v>0</v>
      </c>
      <c r="DO81">
        <v>0</v>
      </c>
      <c r="DP81">
        <v>1</v>
      </c>
      <c r="DQ81">
        <v>1</v>
      </c>
      <c r="DU81">
        <v>1005</v>
      </c>
      <c r="DV81" t="s">
        <v>347</v>
      </c>
      <c r="DW81" t="s">
        <v>347</v>
      </c>
      <c r="DX81">
        <v>100</v>
      </c>
      <c r="DZ81" t="s">
        <v>332</v>
      </c>
      <c r="EA81" t="s">
        <v>332</v>
      </c>
      <c r="EB81" t="s">
        <v>332</v>
      </c>
      <c r="EC81" t="s">
        <v>332</v>
      </c>
      <c r="EE81">
        <v>77313092</v>
      </c>
      <c r="EF81">
        <v>2</v>
      </c>
      <c r="EG81" t="s">
        <v>391</v>
      </c>
      <c r="EH81">
        <v>10</v>
      </c>
      <c r="EI81" t="s">
        <v>489</v>
      </c>
      <c r="EJ81">
        <v>1</v>
      </c>
      <c r="EK81">
        <v>10001</v>
      </c>
      <c r="EL81" t="s">
        <v>489</v>
      </c>
      <c r="EM81" t="s">
        <v>490</v>
      </c>
      <c r="EO81" t="s">
        <v>395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97</v>
      </c>
      <c r="EX81">
        <v>0.38</v>
      </c>
      <c r="EY81">
        <v>0</v>
      </c>
      <c r="FQ81">
        <v>0</v>
      </c>
      <c r="FR81">
        <v>0</v>
      </c>
      <c r="FS81">
        <v>0</v>
      </c>
      <c r="FX81">
        <v>97.2</v>
      </c>
      <c r="FY81">
        <v>46.75</v>
      </c>
      <c r="GA81" t="s">
        <v>332</v>
      </c>
      <c r="GD81">
        <v>1</v>
      </c>
      <c r="GF81">
        <v>468383258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64"/>
        <v>0</v>
      </c>
      <c r="GM81">
        <f t="shared" si="65"/>
        <v>4569.97</v>
      </c>
      <c r="GN81">
        <f t="shared" si="66"/>
        <v>4569.97</v>
      </c>
      <c r="GO81">
        <f t="shared" si="67"/>
        <v>0</v>
      </c>
      <c r="GP81">
        <f t="shared" si="68"/>
        <v>0</v>
      </c>
      <c r="GR81">
        <v>0</v>
      </c>
      <c r="GS81">
        <v>3</v>
      </c>
      <c r="GT81">
        <v>0</v>
      </c>
      <c r="GU81" t="s">
        <v>332</v>
      </c>
      <c r="GV81">
        <f t="shared" si="69"/>
        <v>0</v>
      </c>
      <c r="GW81">
        <v>1</v>
      </c>
      <c r="GX81">
        <f t="shared" si="70"/>
        <v>0</v>
      </c>
      <c r="HA81">
        <v>0</v>
      </c>
      <c r="HB81">
        <v>0</v>
      </c>
      <c r="HC81">
        <f t="shared" si="71"/>
        <v>0</v>
      </c>
      <c r="HE81" t="s">
        <v>332</v>
      </c>
      <c r="HF81" t="s">
        <v>332</v>
      </c>
      <c r="HM81" t="s">
        <v>332</v>
      </c>
      <c r="HN81" t="s">
        <v>491</v>
      </c>
      <c r="HO81" t="s">
        <v>492</v>
      </c>
      <c r="HP81" t="s">
        <v>489</v>
      </c>
      <c r="HQ81" t="s">
        <v>489</v>
      </c>
      <c r="HS81">
        <v>0</v>
      </c>
      <c r="IK81">
        <v>0</v>
      </c>
    </row>
    <row r="82" spans="1:245" x14ac:dyDescent="0.25">
      <c r="A82">
        <v>18</v>
      </c>
      <c r="B82">
        <v>1</v>
      </c>
      <c r="C82">
        <v>71</v>
      </c>
      <c r="E82" t="s">
        <v>493</v>
      </c>
      <c r="F82" t="s">
        <v>494</v>
      </c>
      <c r="G82" t="s">
        <v>495</v>
      </c>
      <c r="H82" t="s">
        <v>269</v>
      </c>
      <c r="I82">
        <f>I81*J82</f>
        <v>2.2200000000000002</v>
      </c>
      <c r="J82">
        <v>111</v>
      </c>
      <c r="K82">
        <v>111</v>
      </c>
      <c r="O82">
        <f t="shared" si="51"/>
        <v>341.13</v>
      </c>
      <c r="P82">
        <f>ROUND(CQ82*I82,2)</f>
        <v>341.13</v>
      </c>
      <c r="Q82">
        <f>ROUND(CR82*I82,2)</f>
        <v>0</v>
      </c>
      <c r="R82">
        <f>ROUND(CS82*I82,2)</f>
        <v>0</v>
      </c>
      <c r="S82">
        <f>ROUND(CT82*I82,2)</f>
        <v>0</v>
      </c>
      <c r="T82">
        <f t="shared" si="52"/>
        <v>0</v>
      </c>
      <c r="U82">
        <f>ROUND(CV82*I82,7)</f>
        <v>0</v>
      </c>
      <c r="V82">
        <f>ROUND(CW82*I82,7)</f>
        <v>0</v>
      </c>
      <c r="W82">
        <f t="shared" si="53"/>
        <v>0</v>
      </c>
      <c r="X82">
        <f t="shared" si="54"/>
        <v>0</v>
      </c>
      <c r="Y82">
        <f t="shared" si="55"/>
        <v>0</v>
      </c>
      <c r="AA82">
        <v>78397139</v>
      </c>
      <c r="AB82">
        <f t="shared" si="56"/>
        <v>108.98</v>
      </c>
      <c r="AC82">
        <f>ROUND((ES82),6)</f>
        <v>108.98</v>
      </c>
      <c r="AD82">
        <f>ROUND((((ET82)-(EU82))+AE82),6)</f>
        <v>0</v>
      </c>
      <c r="AE82">
        <f>ROUND((EU82),6)</f>
        <v>0</v>
      </c>
      <c r="AF82">
        <f>ROUND((EV82),6)</f>
        <v>0</v>
      </c>
      <c r="AG82">
        <f t="shared" si="57"/>
        <v>0</v>
      </c>
      <c r="AH82">
        <f>(EW82)</f>
        <v>0</v>
      </c>
      <c r="AI82">
        <f>(EX82)</f>
        <v>0</v>
      </c>
      <c r="AJ82">
        <f t="shared" si="58"/>
        <v>0</v>
      </c>
      <c r="AK82">
        <v>108.98</v>
      </c>
      <c r="AL82">
        <v>108.98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108</v>
      </c>
      <c r="AU82">
        <v>55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1.41</v>
      </c>
      <c r="BD82" t="s">
        <v>332</v>
      </c>
      <c r="BE82" t="s">
        <v>332</v>
      </c>
      <c r="BF82" t="s">
        <v>332</v>
      </c>
      <c r="BG82" t="s">
        <v>332</v>
      </c>
      <c r="BH82">
        <v>3</v>
      </c>
      <c r="BI82">
        <v>1</v>
      </c>
      <c r="BJ82" t="s">
        <v>496</v>
      </c>
      <c r="BM82">
        <v>10001</v>
      </c>
      <c r="BN82">
        <v>0</v>
      </c>
      <c r="BO82" t="s">
        <v>494</v>
      </c>
      <c r="BP82">
        <v>1</v>
      </c>
      <c r="BQ82">
        <v>2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332</v>
      </c>
      <c r="BZ82">
        <v>108</v>
      </c>
      <c r="CA82">
        <v>55</v>
      </c>
      <c r="CB82" t="s">
        <v>332</v>
      </c>
      <c r="CE82">
        <v>0</v>
      </c>
      <c r="CF82">
        <v>0</v>
      </c>
      <c r="CG82">
        <v>0</v>
      </c>
      <c r="CM82">
        <v>0</v>
      </c>
      <c r="CN82" t="s">
        <v>332</v>
      </c>
      <c r="CO82">
        <v>0</v>
      </c>
      <c r="CP82">
        <f t="shared" si="59"/>
        <v>341.13</v>
      </c>
      <c r="CQ82">
        <f>ROUND(AL82*BC82,2)</f>
        <v>153.66</v>
      </c>
      <c r="CR82">
        <f>ROUND(AM82*BB82,2)</f>
        <v>0</v>
      </c>
      <c r="CS82">
        <f>ROUND(AN82*BS82,2)</f>
        <v>0</v>
      </c>
      <c r="CT82">
        <f>ROUND(AO82*BA82,2)</f>
        <v>0</v>
      </c>
      <c r="CU82">
        <f t="shared" si="60"/>
        <v>0</v>
      </c>
      <c r="CV82">
        <f>AH82</f>
        <v>0</v>
      </c>
      <c r="CW82">
        <f>AI82</f>
        <v>0</v>
      </c>
      <c r="CX82">
        <f t="shared" si="61"/>
        <v>0</v>
      </c>
      <c r="CY82">
        <f t="shared" si="62"/>
        <v>0</v>
      </c>
      <c r="CZ82">
        <f t="shared" si="63"/>
        <v>0</v>
      </c>
      <c r="DC82" t="s">
        <v>332</v>
      </c>
      <c r="DD82" t="s">
        <v>332</v>
      </c>
      <c r="DE82" t="s">
        <v>332</v>
      </c>
      <c r="DF82" t="s">
        <v>332</v>
      </c>
      <c r="DG82" t="s">
        <v>332</v>
      </c>
      <c r="DH82" t="s">
        <v>332</v>
      </c>
      <c r="DI82" t="s">
        <v>332</v>
      </c>
      <c r="DJ82" t="s">
        <v>332</v>
      </c>
      <c r="DK82" t="s">
        <v>332</v>
      </c>
      <c r="DL82" t="s">
        <v>332</v>
      </c>
      <c r="DM82" t="s">
        <v>332</v>
      </c>
      <c r="DN82">
        <v>0</v>
      </c>
      <c r="DO82">
        <v>0</v>
      </c>
      <c r="DP82">
        <v>1</v>
      </c>
      <c r="DQ82">
        <v>1</v>
      </c>
      <c r="DU82">
        <v>1005</v>
      </c>
      <c r="DV82" t="s">
        <v>269</v>
      </c>
      <c r="DW82" t="s">
        <v>269</v>
      </c>
      <c r="DX82">
        <v>1</v>
      </c>
      <c r="DZ82" t="s">
        <v>332</v>
      </c>
      <c r="EA82" t="s">
        <v>332</v>
      </c>
      <c r="EB82" t="s">
        <v>332</v>
      </c>
      <c r="EC82" t="s">
        <v>332</v>
      </c>
      <c r="EE82">
        <v>77313092</v>
      </c>
      <c r="EF82">
        <v>2</v>
      </c>
      <c r="EG82" t="s">
        <v>391</v>
      </c>
      <c r="EH82">
        <v>10</v>
      </c>
      <c r="EI82" t="s">
        <v>489</v>
      </c>
      <c r="EJ82">
        <v>1</v>
      </c>
      <c r="EK82">
        <v>10001</v>
      </c>
      <c r="EL82" t="s">
        <v>489</v>
      </c>
      <c r="EM82" t="s">
        <v>490</v>
      </c>
      <c r="EO82" t="s">
        <v>332</v>
      </c>
      <c r="EQ82">
        <v>0</v>
      </c>
      <c r="ER82">
        <v>108.98</v>
      </c>
      <c r="ES82">
        <v>108.98</v>
      </c>
      <c r="ET82">
        <v>0</v>
      </c>
      <c r="EU82">
        <v>0</v>
      </c>
      <c r="EV82">
        <v>0</v>
      </c>
      <c r="EW82">
        <v>0</v>
      </c>
      <c r="EX82">
        <v>0</v>
      </c>
      <c r="FQ82">
        <v>0</v>
      </c>
      <c r="FR82">
        <v>0</v>
      </c>
      <c r="FS82">
        <v>0</v>
      </c>
      <c r="FX82">
        <v>108</v>
      </c>
      <c r="FY82">
        <v>55</v>
      </c>
      <c r="GA82" t="s">
        <v>332</v>
      </c>
      <c r="GD82">
        <v>1</v>
      </c>
      <c r="GF82">
        <v>-1344670603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64"/>
        <v>0</v>
      </c>
      <c r="GM82">
        <f t="shared" si="65"/>
        <v>341.13</v>
      </c>
      <c r="GN82">
        <f t="shared" si="66"/>
        <v>341.13</v>
      </c>
      <c r="GO82">
        <f t="shared" si="67"/>
        <v>0</v>
      </c>
      <c r="GP82">
        <f t="shared" si="68"/>
        <v>0</v>
      </c>
      <c r="GR82">
        <v>0</v>
      </c>
      <c r="GS82">
        <v>3</v>
      </c>
      <c r="GT82">
        <v>0</v>
      </c>
      <c r="GU82" t="s">
        <v>332</v>
      </c>
      <c r="GV82">
        <f t="shared" si="69"/>
        <v>0</v>
      </c>
      <c r="GW82">
        <v>1</v>
      </c>
      <c r="GX82">
        <f t="shared" si="70"/>
        <v>0</v>
      </c>
      <c r="HA82">
        <v>0</v>
      </c>
      <c r="HB82">
        <v>0</v>
      </c>
      <c r="HC82">
        <f t="shared" si="71"/>
        <v>0</v>
      </c>
      <c r="HE82" t="s">
        <v>332</v>
      </c>
      <c r="HF82" t="s">
        <v>332</v>
      </c>
      <c r="HM82" t="s">
        <v>332</v>
      </c>
      <c r="HN82" t="s">
        <v>491</v>
      </c>
      <c r="HO82" t="s">
        <v>492</v>
      </c>
      <c r="HP82" t="s">
        <v>489</v>
      </c>
      <c r="HQ82" t="s">
        <v>489</v>
      </c>
      <c r="HS82">
        <v>0</v>
      </c>
      <c r="IK82">
        <v>0</v>
      </c>
    </row>
    <row r="83" spans="1:245" x14ac:dyDescent="0.25">
      <c r="A83">
        <v>18</v>
      </c>
      <c r="B83">
        <v>1</v>
      </c>
      <c r="C83">
        <v>84</v>
      </c>
      <c r="E83" t="s">
        <v>497</v>
      </c>
      <c r="F83" t="s">
        <v>498</v>
      </c>
      <c r="G83" t="s">
        <v>499</v>
      </c>
      <c r="H83" t="s">
        <v>228</v>
      </c>
      <c r="I83">
        <f>I81*J83</f>
        <v>1.62</v>
      </c>
      <c r="J83">
        <v>81</v>
      </c>
      <c r="K83">
        <v>81</v>
      </c>
      <c r="O83">
        <f t="shared" si="51"/>
        <v>3311</v>
      </c>
      <c r="P83">
        <f>ROUND(CQ83*I83,2)</f>
        <v>3311</v>
      </c>
      <c r="Q83">
        <f>ROUND(CR83*I83,2)</f>
        <v>0</v>
      </c>
      <c r="R83">
        <f>ROUND(CS83*I83,2)</f>
        <v>0</v>
      </c>
      <c r="S83">
        <f>ROUND(CT83*I83,2)</f>
        <v>0</v>
      </c>
      <c r="T83">
        <f t="shared" si="52"/>
        <v>0</v>
      </c>
      <c r="U83">
        <f>ROUND(CV83*I83,7)</f>
        <v>0</v>
      </c>
      <c r="V83">
        <f>ROUND(CW83*I83,7)</f>
        <v>0</v>
      </c>
      <c r="W83">
        <f t="shared" si="53"/>
        <v>0</v>
      </c>
      <c r="X83">
        <f t="shared" si="54"/>
        <v>0</v>
      </c>
      <c r="Y83">
        <f t="shared" si="55"/>
        <v>0</v>
      </c>
      <c r="AA83">
        <v>78397139</v>
      </c>
      <c r="AB83">
        <f t="shared" si="56"/>
        <v>1362.55</v>
      </c>
      <c r="AC83">
        <f>ROUND((ES83),6)</f>
        <v>1362.55</v>
      </c>
      <c r="AD83">
        <f>ROUND((((ET83)-(EU83))+AE83),6)</f>
        <v>0</v>
      </c>
      <c r="AE83">
        <f>ROUND((EU83),6)</f>
        <v>0</v>
      </c>
      <c r="AF83">
        <f>ROUND((EV83),6)</f>
        <v>0</v>
      </c>
      <c r="AG83">
        <f t="shared" si="57"/>
        <v>0</v>
      </c>
      <c r="AH83">
        <f>(EW83)</f>
        <v>0</v>
      </c>
      <c r="AI83">
        <f>(EX83)</f>
        <v>0</v>
      </c>
      <c r="AJ83">
        <f t="shared" si="58"/>
        <v>0</v>
      </c>
      <c r="AK83">
        <v>1362.55</v>
      </c>
      <c r="AL83">
        <v>1362.55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108</v>
      </c>
      <c r="AU83">
        <v>55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1.5</v>
      </c>
      <c r="BD83" t="s">
        <v>332</v>
      </c>
      <c r="BE83" t="s">
        <v>332</v>
      </c>
      <c r="BF83" t="s">
        <v>332</v>
      </c>
      <c r="BG83" t="s">
        <v>332</v>
      </c>
      <c r="BH83">
        <v>3</v>
      </c>
      <c r="BI83">
        <v>1</v>
      </c>
      <c r="BJ83" t="s">
        <v>500</v>
      </c>
      <c r="BM83">
        <v>10001</v>
      </c>
      <c r="BN83">
        <v>0</v>
      </c>
      <c r="BO83" t="s">
        <v>498</v>
      </c>
      <c r="BP83">
        <v>1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332</v>
      </c>
      <c r="BZ83">
        <v>108</v>
      </c>
      <c r="CA83">
        <v>55</v>
      </c>
      <c r="CB83" t="s">
        <v>332</v>
      </c>
      <c r="CE83">
        <v>0</v>
      </c>
      <c r="CF83">
        <v>0</v>
      </c>
      <c r="CG83">
        <v>0</v>
      </c>
      <c r="CM83">
        <v>0</v>
      </c>
      <c r="CN83" t="s">
        <v>332</v>
      </c>
      <c r="CO83">
        <v>0</v>
      </c>
      <c r="CP83">
        <f t="shared" si="59"/>
        <v>3311</v>
      </c>
      <c r="CQ83">
        <f>ROUND(AL83*BC83,2)</f>
        <v>2043.83</v>
      </c>
      <c r="CR83">
        <f>ROUND(AM83*BB83,2)</f>
        <v>0</v>
      </c>
      <c r="CS83">
        <f>ROUND(AN83*BS83,2)</f>
        <v>0</v>
      </c>
      <c r="CT83">
        <f>ROUND(AO83*BA83,2)</f>
        <v>0</v>
      </c>
      <c r="CU83">
        <f t="shared" si="60"/>
        <v>0</v>
      </c>
      <c r="CV83">
        <f>AH83</f>
        <v>0</v>
      </c>
      <c r="CW83">
        <f>AI83</f>
        <v>0</v>
      </c>
      <c r="CX83">
        <f t="shared" si="61"/>
        <v>0</v>
      </c>
      <c r="CY83">
        <f t="shared" si="62"/>
        <v>0</v>
      </c>
      <c r="CZ83">
        <f t="shared" si="63"/>
        <v>0</v>
      </c>
      <c r="DC83" t="s">
        <v>332</v>
      </c>
      <c r="DD83" t="s">
        <v>332</v>
      </c>
      <c r="DE83" t="s">
        <v>332</v>
      </c>
      <c r="DF83" t="s">
        <v>332</v>
      </c>
      <c r="DG83" t="s">
        <v>332</v>
      </c>
      <c r="DH83" t="s">
        <v>332</v>
      </c>
      <c r="DI83" t="s">
        <v>332</v>
      </c>
      <c r="DJ83" t="s">
        <v>332</v>
      </c>
      <c r="DK83" t="s">
        <v>332</v>
      </c>
      <c r="DL83" t="s">
        <v>332</v>
      </c>
      <c r="DM83" t="s">
        <v>332</v>
      </c>
      <c r="DN83">
        <v>0</v>
      </c>
      <c r="DO83">
        <v>0</v>
      </c>
      <c r="DP83">
        <v>1</v>
      </c>
      <c r="DQ83">
        <v>1</v>
      </c>
      <c r="DU83">
        <v>1013</v>
      </c>
      <c r="DV83" t="s">
        <v>228</v>
      </c>
      <c r="DW83" t="s">
        <v>228</v>
      </c>
      <c r="DX83">
        <v>1</v>
      </c>
      <c r="DZ83" t="s">
        <v>332</v>
      </c>
      <c r="EA83" t="s">
        <v>332</v>
      </c>
      <c r="EB83" t="s">
        <v>332</v>
      </c>
      <c r="EC83" t="s">
        <v>332</v>
      </c>
      <c r="EE83">
        <v>77313092</v>
      </c>
      <c r="EF83">
        <v>2</v>
      </c>
      <c r="EG83" t="s">
        <v>391</v>
      </c>
      <c r="EH83">
        <v>10</v>
      </c>
      <c r="EI83" t="s">
        <v>489</v>
      </c>
      <c r="EJ83">
        <v>1</v>
      </c>
      <c r="EK83">
        <v>10001</v>
      </c>
      <c r="EL83" t="s">
        <v>489</v>
      </c>
      <c r="EM83" t="s">
        <v>490</v>
      </c>
      <c r="EO83" t="s">
        <v>332</v>
      </c>
      <c r="EQ83">
        <v>0</v>
      </c>
      <c r="ER83">
        <v>1362.55</v>
      </c>
      <c r="ES83">
        <v>1362.55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v>0</v>
      </c>
      <c r="FS83">
        <v>0</v>
      </c>
      <c r="FX83">
        <v>108</v>
      </c>
      <c r="FY83">
        <v>55</v>
      </c>
      <c r="GA83" t="s">
        <v>332</v>
      </c>
      <c r="GD83">
        <v>1</v>
      </c>
      <c r="GF83">
        <v>340984185</v>
      </c>
      <c r="GG83">
        <v>2</v>
      </c>
      <c r="GH83">
        <v>1</v>
      </c>
      <c r="GI83">
        <v>2</v>
      </c>
      <c r="GJ83">
        <v>0</v>
      </c>
      <c r="GK83">
        <v>0</v>
      </c>
      <c r="GL83">
        <f t="shared" si="64"/>
        <v>0</v>
      </c>
      <c r="GM83">
        <f t="shared" si="65"/>
        <v>3311</v>
      </c>
      <c r="GN83">
        <f t="shared" si="66"/>
        <v>3311</v>
      </c>
      <c r="GO83">
        <f t="shared" si="67"/>
        <v>0</v>
      </c>
      <c r="GP83">
        <f t="shared" si="68"/>
        <v>0</v>
      </c>
      <c r="GR83">
        <v>0</v>
      </c>
      <c r="GS83">
        <v>3</v>
      </c>
      <c r="GT83">
        <v>0</v>
      </c>
      <c r="GU83" t="s">
        <v>332</v>
      </c>
      <c r="GV83">
        <f t="shared" si="69"/>
        <v>0</v>
      </c>
      <c r="GW83">
        <v>1</v>
      </c>
      <c r="GX83">
        <f t="shared" si="70"/>
        <v>0</v>
      </c>
      <c r="HA83">
        <v>0</v>
      </c>
      <c r="HB83">
        <v>0</v>
      </c>
      <c r="HC83">
        <f t="shared" si="71"/>
        <v>0</v>
      </c>
      <c r="HE83" t="s">
        <v>332</v>
      </c>
      <c r="HF83" t="s">
        <v>332</v>
      </c>
      <c r="HM83" t="s">
        <v>332</v>
      </c>
      <c r="HN83" t="s">
        <v>491</v>
      </c>
      <c r="HO83" t="s">
        <v>492</v>
      </c>
      <c r="HP83" t="s">
        <v>489</v>
      </c>
      <c r="HQ83" t="s">
        <v>489</v>
      </c>
      <c r="HS83">
        <v>0</v>
      </c>
      <c r="IK83">
        <v>0</v>
      </c>
    </row>
    <row r="84" spans="1:245" x14ac:dyDescent="0.25">
      <c r="A84">
        <v>17</v>
      </c>
      <c r="B84">
        <v>1</v>
      </c>
      <c r="C84">
        <f>ROW(SmtRes!A94)</f>
        <v>94</v>
      </c>
      <c r="D84">
        <f>ROW(EtalonRes!A95)</f>
        <v>95</v>
      </c>
      <c r="E84" t="s">
        <v>257</v>
      </c>
      <c r="F84" t="s">
        <v>501</v>
      </c>
      <c r="G84" t="s">
        <v>502</v>
      </c>
      <c r="H84" t="s">
        <v>347</v>
      </c>
      <c r="I84">
        <f>ROUND(2/100,7)</f>
        <v>0.02</v>
      </c>
      <c r="J84">
        <v>0</v>
      </c>
      <c r="K84">
        <f>ROUND(2/100,7)</f>
        <v>0.02</v>
      </c>
      <c r="O84">
        <f t="shared" si="51"/>
        <v>476.56</v>
      </c>
      <c r="P84">
        <f>SUMIF(SmtRes!AQ90:'SmtRes'!AQ94,"=1",SmtRes!DF90:'SmtRes'!DF94)</f>
        <v>7.45</v>
      </c>
      <c r="Q84">
        <f>SUMIF(SmtRes!AQ90:'SmtRes'!AQ94,"=1",SmtRes!DG90:'SmtRes'!DG94)</f>
        <v>0.16</v>
      </c>
      <c r="R84">
        <f>SUMIF(SmtRes!AQ90:'SmtRes'!AQ94,"=1",SmtRes!DH90:'SmtRes'!DH94)</f>
        <v>1.76</v>
      </c>
      <c r="S84">
        <f>SUMIF(SmtRes!AQ90:'SmtRes'!AQ94,"=1",SmtRes!DI90:'SmtRes'!DI94)</f>
        <v>467.19</v>
      </c>
      <c r="T84">
        <f t="shared" si="52"/>
        <v>0</v>
      </c>
      <c r="U84">
        <f>SUMIF(SmtRes!AQ90:'SmtRes'!AQ94,"=1",SmtRes!CV90:'SmtRes'!CV94)</f>
        <v>0.68540000000000001</v>
      </c>
      <c r="V84">
        <f>SUMIF(SmtRes!AQ90:'SmtRes'!AQ94,"=1",SmtRes!CW90:'SmtRes'!CW94)</f>
        <v>2.7499999999999998E-3</v>
      </c>
      <c r="W84">
        <f t="shared" si="53"/>
        <v>0</v>
      </c>
      <c r="X84">
        <f t="shared" si="54"/>
        <v>422.06</v>
      </c>
      <c r="Y84">
        <f t="shared" si="55"/>
        <v>195.32</v>
      </c>
      <c r="AA84">
        <v>78397139</v>
      </c>
      <c r="AB84">
        <f t="shared" si="56"/>
        <v>23636.9162</v>
      </c>
      <c r="AC84">
        <f>ROUND((SUM(SmtRes!BQ90:'SmtRes'!BQ94)),6)</f>
        <v>272.32459999999998</v>
      </c>
      <c r="AD84">
        <f>ROUND((((SUM(SmtRes!BR90:'SmtRes'!BR94))-(SUM(SmtRes!BS90:'SmtRes'!BS94)))+AE84),6)</f>
        <v>5.1315</v>
      </c>
      <c r="AE84">
        <f>ROUND((SUM(SmtRes!BS90:'SmtRes'!BS94)),6)</f>
        <v>88.167749999999998</v>
      </c>
      <c r="AF84">
        <f>ROUND((SUM(SmtRes!BT90:'SmtRes'!BT94)),6)</f>
        <v>23359.4601</v>
      </c>
      <c r="AG84">
        <f t="shared" si="57"/>
        <v>0</v>
      </c>
      <c r="AH84">
        <f>(SUM(SmtRes!BU90:'SmtRes'!BU94))</f>
        <v>34.270000000000003</v>
      </c>
      <c r="AI84">
        <f>(SUM(SmtRes!BV90:'SmtRes'!BV94))</f>
        <v>0.13750000000000001</v>
      </c>
      <c r="AJ84">
        <f t="shared" si="58"/>
        <v>0</v>
      </c>
      <c r="AK84">
        <v>20659.538</v>
      </c>
      <c r="AL84">
        <v>272.32459999999998</v>
      </c>
      <c r="AM84">
        <v>4.1052</v>
      </c>
      <c r="AN84">
        <v>70.534199999999998</v>
      </c>
      <c r="AO84">
        <v>20312.574000000001</v>
      </c>
      <c r="AP84">
        <v>0</v>
      </c>
      <c r="AQ84">
        <v>29.8</v>
      </c>
      <c r="AR84">
        <v>0.11</v>
      </c>
      <c r="AS84">
        <v>0</v>
      </c>
      <c r="AT84">
        <v>90</v>
      </c>
      <c r="AU84">
        <v>41.65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1</v>
      </c>
      <c r="BD84" t="s">
        <v>332</v>
      </c>
      <c r="BE84" t="s">
        <v>332</v>
      </c>
      <c r="BF84" t="s">
        <v>332</v>
      </c>
      <c r="BG84" t="s">
        <v>332</v>
      </c>
      <c r="BH84">
        <v>0</v>
      </c>
      <c r="BI84">
        <v>1</v>
      </c>
      <c r="BJ84" t="s">
        <v>503</v>
      </c>
      <c r="BM84">
        <v>15001</v>
      </c>
      <c r="BN84">
        <v>0</v>
      </c>
      <c r="BO84" t="s">
        <v>332</v>
      </c>
      <c r="BP84">
        <v>0</v>
      </c>
      <c r="BQ84">
        <v>2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332</v>
      </c>
      <c r="BZ84">
        <v>100</v>
      </c>
      <c r="CA84">
        <v>49</v>
      </c>
      <c r="CB84" t="s">
        <v>332</v>
      </c>
      <c r="CE84">
        <v>0</v>
      </c>
      <c r="CF84">
        <v>0</v>
      </c>
      <c r="CG84">
        <v>0</v>
      </c>
      <c r="CM84">
        <v>0</v>
      </c>
      <c r="CN84" t="s">
        <v>385</v>
      </c>
      <c r="CO84">
        <v>0</v>
      </c>
      <c r="CP84">
        <f t="shared" si="59"/>
        <v>476.56</v>
      </c>
      <c r="CQ84">
        <f>SUMIF(SmtRes!AQ90:'SmtRes'!AQ94,"=1",SmtRes!AA90:'SmtRes'!AA94)</f>
        <v>4805.08</v>
      </c>
      <c r="CR84">
        <f>SUMIF(SmtRes!AQ90:'SmtRes'!AQ94,"=1",SmtRes!AB90:'SmtRes'!AB94)</f>
        <v>57.47</v>
      </c>
      <c r="CS84">
        <f>SUMIF(SmtRes!AQ90:'SmtRes'!AQ94,"=1",SmtRes!AC90:'SmtRes'!AC94)</f>
        <v>641.22</v>
      </c>
      <c r="CT84">
        <f>SUMIF(SmtRes!AQ90:'SmtRes'!AQ94,"=1",SmtRes!AD90:'SmtRes'!AD94)</f>
        <v>681.63</v>
      </c>
      <c r="CU84">
        <f t="shared" si="60"/>
        <v>0</v>
      </c>
      <c r="CV84">
        <f>SUMIF(SmtRes!AQ90:'SmtRes'!AQ94,"=1",SmtRes!BU90:'SmtRes'!BU94)</f>
        <v>34.270000000000003</v>
      </c>
      <c r="CW84">
        <f>SUMIF(SmtRes!AQ90:'SmtRes'!AQ94,"=1",SmtRes!BV90:'SmtRes'!BV94)</f>
        <v>0.13750000000000001</v>
      </c>
      <c r="CX84">
        <f t="shared" si="61"/>
        <v>0</v>
      </c>
      <c r="CY84">
        <f t="shared" si="62"/>
        <v>422.05500000000001</v>
      </c>
      <c r="CZ84">
        <f t="shared" si="63"/>
        <v>195.31767499999998</v>
      </c>
      <c r="DB84">
        <v>4</v>
      </c>
      <c r="DC84" t="s">
        <v>332</v>
      </c>
      <c r="DD84" t="s">
        <v>332</v>
      </c>
      <c r="DE84" t="s">
        <v>401</v>
      </c>
      <c r="DF84" t="s">
        <v>401</v>
      </c>
      <c r="DG84" t="s">
        <v>402</v>
      </c>
      <c r="DH84" t="s">
        <v>332</v>
      </c>
      <c r="DI84" t="s">
        <v>402</v>
      </c>
      <c r="DJ84" t="s">
        <v>401</v>
      </c>
      <c r="DK84" t="s">
        <v>332</v>
      </c>
      <c r="DL84" t="s">
        <v>389</v>
      </c>
      <c r="DM84" t="s">
        <v>390</v>
      </c>
      <c r="DN84">
        <v>0</v>
      </c>
      <c r="DO84">
        <v>0</v>
      </c>
      <c r="DP84">
        <v>1</v>
      </c>
      <c r="DQ84">
        <v>1</v>
      </c>
      <c r="DU84">
        <v>1005</v>
      </c>
      <c r="DV84" t="s">
        <v>347</v>
      </c>
      <c r="DW84" t="s">
        <v>347</v>
      </c>
      <c r="DX84">
        <v>100</v>
      </c>
      <c r="DZ84" t="s">
        <v>332</v>
      </c>
      <c r="EA84" t="s">
        <v>332</v>
      </c>
      <c r="EB84" t="s">
        <v>332</v>
      </c>
      <c r="EC84" t="s">
        <v>332</v>
      </c>
      <c r="EE84">
        <v>77313118</v>
      </c>
      <c r="EF84">
        <v>2</v>
      </c>
      <c r="EG84" t="s">
        <v>391</v>
      </c>
      <c r="EH84">
        <v>15</v>
      </c>
      <c r="EI84" t="s">
        <v>403</v>
      </c>
      <c r="EJ84">
        <v>1</v>
      </c>
      <c r="EK84">
        <v>15001</v>
      </c>
      <c r="EL84" t="s">
        <v>403</v>
      </c>
      <c r="EM84" t="s">
        <v>404</v>
      </c>
      <c r="EO84" t="s">
        <v>395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29.8</v>
      </c>
      <c r="EX84">
        <v>0.11</v>
      </c>
      <c r="EY84">
        <v>0</v>
      </c>
      <c r="FQ84">
        <v>0</v>
      </c>
      <c r="FR84">
        <v>0</v>
      </c>
      <c r="FS84">
        <v>0</v>
      </c>
      <c r="FX84">
        <v>90</v>
      </c>
      <c r="FY84">
        <v>41.65</v>
      </c>
      <c r="GA84" t="s">
        <v>332</v>
      </c>
      <c r="GD84">
        <v>1</v>
      </c>
      <c r="GF84">
        <v>-859052249</v>
      </c>
      <c r="GG84">
        <v>2</v>
      </c>
      <c r="GH84">
        <v>1</v>
      </c>
      <c r="GI84">
        <v>-2</v>
      </c>
      <c r="GJ84">
        <v>0</v>
      </c>
      <c r="GK84">
        <v>0</v>
      </c>
      <c r="GL84">
        <f t="shared" si="64"/>
        <v>0</v>
      </c>
      <c r="GM84">
        <f t="shared" si="65"/>
        <v>1093.94</v>
      </c>
      <c r="GN84">
        <f t="shared" si="66"/>
        <v>1093.94</v>
      </c>
      <c r="GO84">
        <f t="shared" si="67"/>
        <v>0</v>
      </c>
      <c r="GP84">
        <f t="shared" si="68"/>
        <v>0</v>
      </c>
      <c r="GR84">
        <v>0</v>
      </c>
      <c r="GS84">
        <v>3</v>
      </c>
      <c r="GT84">
        <v>0</v>
      </c>
      <c r="GU84" t="s">
        <v>332</v>
      </c>
      <c r="GV84">
        <f t="shared" si="69"/>
        <v>0</v>
      </c>
      <c r="GW84">
        <v>1</v>
      </c>
      <c r="GX84">
        <f t="shared" si="70"/>
        <v>0</v>
      </c>
      <c r="HA84">
        <v>0</v>
      </c>
      <c r="HB84">
        <v>0</v>
      </c>
      <c r="HC84">
        <f t="shared" si="71"/>
        <v>0</v>
      </c>
      <c r="HE84" t="s">
        <v>332</v>
      </c>
      <c r="HF84" t="s">
        <v>332</v>
      </c>
      <c r="HM84" t="s">
        <v>332</v>
      </c>
      <c r="HN84" t="s">
        <v>405</v>
      </c>
      <c r="HO84" t="s">
        <v>406</v>
      </c>
      <c r="HP84" t="s">
        <v>403</v>
      </c>
      <c r="HQ84" t="s">
        <v>403</v>
      </c>
      <c r="HS84">
        <v>0</v>
      </c>
      <c r="IK84">
        <v>0</v>
      </c>
    </row>
    <row r="85" spans="1:245" x14ac:dyDescent="0.25">
      <c r="A85">
        <v>17</v>
      </c>
      <c r="B85">
        <v>1</v>
      </c>
      <c r="C85">
        <f>ROW(SmtRes!A103)</f>
        <v>103</v>
      </c>
      <c r="D85">
        <f>ROW(EtalonRes!A104)</f>
        <v>104</v>
      </c>
      <c r="E85" t="s">
        <v>263</v>
      </c>
      <c r="F85" t="s">
        <v>504</v>
      </c>
      <c r="G85" t="s">
        <v>505</v>
      </c>
      <c r="H85" t="s">
        <v>347</v>
      </c>
      <c r="I85">
        <f>ROUND(2/100,7)</f>
        <v>0.02</v>
      </c>
      <c r="J85">
        <v>0</v>
      </c>
      <c r="K85">
        <f>ROUND(2/100,7)</f>
        <v>0.02</v>
      </c>
      <c r="O85">
        <f t="shared" si="51"/>
        <v>636.41</v>
      </c>
      <c r="P85">
        <f>SUMIF(SmtRes!AQ95:'SmtRes'!AQ103,"=1",SmtRes!DF95:'SmtRes'!DF103)</f>
        <v>20.89</v>
      </c>
      <c r="Q85">
        <f>SUMIF(SmtRes!AQ95:'SmtRes'!AQ103,"=1",SmtRes!DG95:'SmtRes'!DG103)</f>
        <v>1.62</v>
      </c>
      <c r="R85">
        <f>SUMIF(SmtRes!AQ95:'SmtRes'!AQ103,"=1",SmtRes!DH95:'SmtRes'!DH103)</f>
        <v>1.97</v>
      </c>
      <c r="S85">
        <f>SUMIF(SmtRes!AQ95:'SmtRes'!AQ103,"=1",SmtRes!DI95:'SmtRes'!DI103)</f>
        <v>611.92999999999995</v>
      </c>
      <c r="T85">
        <f t="shared" si="52"/>
        <v>0</v>
      </c>
      <c r="U85">
        <f>SUMIF(SmtRes!AQ95:'SmtRes'!AQ103,"=1",SmtRes!CV95:'SmtRes'!CV103)</f>
        <v>0.91954000000000002</v>
      </c>
      <c r="V85">
        <f>SUMIF(SmtRes!AQ95:'SmtRes'!AQ103,"=1",SmtRes!CW95:'SmtRes'!CW103)</f>
        <v>2.7499999999999998E-3</v>
      </c>
      <c r="W85">
        <f t="shared" si="53"/>
        <v>0</v>
      </c>
      <c r="X85">
        <f t="shared" si="54"/>
        <v>552.51</v>
      </c>
      <c r="Y85">
        <f t="shared" si="55"/>
        <v>255.69</v>
      </c>
      <c r="AA85">
        <v>78397139</v>
      </c>
      <c r="AB85">
        <f t="shared" si="56"/>
        <v>31431.258580000002</v>
      </c>
      <c r="AC85">
        <f>ROUND((SUM(SmtRes!BQ95:'SmtRes'!BQ103)),6)</f>
        <v>754.15051500000004</v>
      </c>
      <c r="AD85">
        <f>ROUND((((SUM(SmtRes!BR95:'SmtRes'!BR103))-(SUM(SmtRes!BS95:'SmtRes'!BS103)))+AE85),6)</f>
        <v>80.793875</v>
      </c>
      <c r="AE85">
        <f>ROUND((SUM(SmtRes!BS95:'SmtRes'!BS103)),6)</f>
        <v>98.271500000000003</v>
      </c>
      <c r="AF85">
        <f>ROUND((SUM(SmtRes!BT95:'SmtRes'!BT103)),6)</f>
        <v>30596.314190000001</v>
      </c>
      <c r="AG85">
        <f t="shared" si="57"/>
        <v>0</v>
      </c>
      <c r="AH85">
        <f>(SUM(SmtRes!BU95:'SmtRes'!BU103))</f>
        <v>45.976999999999997</v>
      </c>
      <c r="AI85">
        <f>(SUM(SmtRes!BV95:'SmtRes'!BV103))</f>
        <v>0.13750000000000001</v>
      </c>
      <c r="AJ85">
        <f t="shared" si="58"/>
        <v>0</v>
      </c>
      <c r="AK85">
        <v>27502.893414999999</v>
      </c>
      <c r="AL85">
        <v>754.15051500000004</v>
      </c>
      <c r="AM85">
        <v>64.635099999999994</v>
      </c>
      <c r="AN85">
        <v>78.617199999999997</v>
      </c>
      <c r="AO85">
        <v>26605.490600000001</v>
      </c>
      <c r="AP85">
        <v>0</v>
      </c>
      <c r="AQ85">
        <v>39.979999999999997</v>
      </c>
      <c r="AR85">
        <v>0.11</v>
      </c>
      <c r="AS85">
        <v>0</v>
      </c>
      <c r="AT85">
        <v>90</v>
      </c>
      <c r="AU85">
        <v>41.65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332</v>
      </c>
      <c r="BE85" t="s">
        <v>332</v>
      </c>
      <c r="BF85" t="s">
        <v>332</v>
      </c>
      <c r="BG85" t="s">
        <v>332</v>
      </c>
      <c r="BH85">
        <v>0</v>
      </c>
      <c r="BI85">
        <v>1</v>
      </c>
      <c r="BJ85" t="s">
        <v>506</v>
      </c>
      <c r="BM85">
        <v>15001</v>
      </c>
      <c r="BN85">
        <v>0</v>
      </c>
      <c r="BO85" t="s">
        <v>332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332</v>
      </c>
      <c r="BZ85">
        <v>100</v>
      </c>
      <c r="CA85">
        <v>49</v>
      </c>
      <c r="CB85" t="s">
        <v>332</v>
      </c>
      <c r="CE85">
        <v>0</v>
      </c>
      <c r="CF85">
        <v>0</v>
      </c>
      <c r="CG85">
        <v>0</v>
      </c>
      <c r="CM85">
        <v>0</v>
      </c>
      <c r="CN85" t="s">
        <v>385</v>
      </c>
      <c r="CO85">
        <v>0</v>
      </c>
      <c r="CP85">
        <f t="shared" si="59"/>
        <v>636.41</v>
      </c>
      <c r="CQ85">
        <f>SUMIF(SmtRes!AQ95:'SmtRes'!AQ103,"=1",SmtRes!AA95:'SmtRes'!AA103)</f>
        <v>77867.11</v>
      </c>
      <c r="CR85">
        <f>SUMIF(SmtRes!AQ95:'SmtRes'!AQ103,"=1",SmtRes!AB95:'SmtRes'!AB103)</f>
        <v>690.43</v>
      </c>
      <c r="CS85">
        <f>SUMIF(SmtRes!AQ95:'SmtRes'!AQ103,"=1",SmtRes!AC95:'SmtRes'!AC103)</f>
        <v>1363.27</v>
      </c>
      <c r="CT85">
        <f>SUMIF(SmtRes!AQ95:'SmtRes'!AQ103,"=1",SmtRes!AD95:'SmtRes'!AD103)</f>
        <v>665.47</v>
      </c>
      <c r="CU85">
        <f t="shared" si="60"/>
        <v>0</v>
      </c>
      <c r="CV85">
        <f>SUMIF(SmtRes!AQ95:'SmtRes'!AQ103,"=1",SmtRes!BU95:'SmtRes'!BU103)</f>
        <v>45.976999999999997</v>
      </c>
      <c r="CW85">
        <f>SUMIF(SmtRes!AQ95:'SmtRes'!AQ103,"=1",SmtRes!BV95:'SmtRes'!BV103)</f>
        <v>0.13750000000000001</v>
      </c>
      <c r="CX85">
        <f t="shared" si="61"/>
        <v>0</v>
      </c>
      <c r="CY85">
        <f t="shared" si="62"/>
        <v>552.51</v>
      </c>
      <c r="CZ85">
        <f t="shared" si="63"/>
        <v>255.68934999999999</v>
      </c>
      <c r="DB85">
        <v>5</v>
      </c>
      <c r="DC85" t="s">
        <v>332</v>
      </c>
      <c r="DD85" t="s">
        <v>332</v>
      </c>
      <c r="DE85" t="s">
        <v>401</v>
      </c>
      <c r="DF85" t="s">
        <v>401</v>
      </c>
      <c r="DG85" t="s">
        <v>402</v>
      </c>
      <c r="DH85" t="s">
        <v>332</v>
      </c>
      <c r="DI85" t="s">
        <v>402</v>
      </c>
      <c r="DJ85" t="s">
        <v>401</v>
      </c>
      <c r="DK85" t="s">
        <v>332</v>
      </c>
      <c r="DL85" t="s">
        <v>389</v>
      </c>
      <c r="DM85" t="s">
        <v>390</v>
      </c>
      <c r="DN85">
        <v>0</v>
      </c>
      <c r="DO85">
        <v>0</v>
      </c>
      <c r="DP85">
        <v>1</v>
      </c>
      <c r="DQ85">
        <v>1</v>
      </c>
      <c r="DU85">
        <v>1005</v>
      </c>
      <c r="DV85" t="s">
        <v>347</v>
      </c>
      <c r="DW85" t="s">
        <v>347</v>
      </c>
      <c r="DX85">
        <v>100</v>
      </c>
      <c r="DZ85" t="s">
        <v>332</v>
      </c>
      <c r="EA85" t="s">
        <v>332</v>
      </c>
      <c r="EB85" t="s">
        <v>332</v>
      </c>
      <c r="EC85" t="s">
        <v>332</v>
      </c>
      <c r="EE85">
        <v>77313118</v>
      </c>
      <c r="EF85">
        <v>2</v>
      </c>
      <c r="EG85" t="s">
        <v>391</v>
      </c>
      <c r="EH85">
        <v>15</v>
      </c>
      <c r="EI85" t="s">
        <v>403</v>
      </c>
      <c r="EJ85">
        <v>1</v>
      </c>
      <c r="EK85">
        <v>15001</v>
      </c>
      <c r="EL85" t="s">
        <v>403</v>
      </c>
      <c r="EM85" t="s">
        <v>404</v>
      </c>
      <c r="EO85" t="s">
        <v>395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39.979999999999997</v>
      </c>
      <c r="EX85">
        <v>0.11</v>
      </c>
      <c r="EY85">
        <v>0</v>
      </c>
      <c r="FQ85">
        <v>0</v>
      </c>
      <c r="FR85">
        <v>0</v>
      </c>
      <c r="FS85">
        <v>0</v>
      </c>
      <c r="FX85">
        <v>90</v>
      </c>
      <c r="FY85">
        <v>41.65</v>
      </c>
      <c r="GA85" t="s">
        <v>332</v>
      </c>
      <c r="GD85">
        <v>1</v>
      </c>
      <c r="GF85">
        <v>1428090763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64"/>
        <v>0</v>
      </c>
      <c r="GM85">
        <f t="shared" si="65"/>
        <v>1444.61</v>
      </c>
      <c r="GN85">
        <f t="shared" si="66"/>
        <v>1444.61</v>
      </c>
      <c r="GO85">
        <f t="shared" si="67"/>
        <v>0</v>
      </c>
      <c r="GP85">
        <f t="shared" si="68"/>
        <v>0</v>
      </c>
      <c r="GR85">
        <v>0</v>
      </c>
      <c r="GS85">
        <v>3</v>
      </c>
      <c r="GT85">
        <v>0</v>
      </c>
      <c r="GU85" t="s">
        <v>332</v>
      </c>
      <c r="GV85">
        <f t="shared" si="69"/>
        <v>0</v>
      </c>
      <c r="GW85">
        <v>1</v>
      </c>
      <c r="GX85">
        <f t="shared" si="70"/>
        <v>0</v>
      </c>
      <c r="HA85">
        <v>0</v>
      </c>
      <c r="HB85">
        <v>0</v>
      </c>
      <c r="HC85">
        <f t="shared" si="71"/>
        <v>0</v>
      </c>
      <c r="HE85" t="s">
        <v>332</v>
      </c>
      <c r="HF85" t="s">
        <v>332</v>
      </c>
      <c r="HM85" t="s">
        <v>332</v>
      </c>
      <c r="HN85" t="s">
        <v>405</v>
      </c>
      <c r="HO85" t="s">
        <v>406</v>
      </c>
      <c r="HP85" t="s">
        <v>403</v>
      </c>
      <c r="HQ85" t="s">
        <v>403</v>
      </c>
      <c r="HS85">
        <v>0</v>
      </c>
      <c r="IK85">
        <v>0</v>
      </c>
    </row>
    <row r="86" spans="1:245" x14ac:dyDescent="0.25">
      <c r="A86">
        <v>18</v>
      </c>
      <c r="B86">
        <v>1</v>
      </c>
      <c r="C86">
        <v>101</v>
      </c>
      <c r="E86" t="s">
        <v>507</v>
      </c>
      <c r="F86" t="s">
        <v>508</v>
      </c>
      <c r="G86" t="s">
        <v>509</v>
      </c>
      <c r="H86" t="s">
        <v>87</v>
      </c>
      <c r="I86">
        <f>I85*J86</f>
        <v>6.6E-4</v>
      </c>
      <c r="J86">
        <v>3.3000000000000002E-2</v>
      </c>
      <c r="K86">
        <v>3.3000000000000002E-2</v>
      </c>
      <c r="O86">
        <f t="shared" si="51"/>
        <v>74.89</v>
      </c>
      <c r="P86">
        <f>ROUND(CQ86*I86,2)</f>
        <v>74.89</v>
      </c>
      <c r="Q86">
        <f>ROUND(CR86*I86,2)</f>
        <v>0</v>
      </c>
      <c r="R86">
        <f>ROUND(CS86*I86,2)</f>
        <v>0</v>
      </c>
      <c r="S86">
        <f>ROUND(CT86*I86,2)</f>
        <v>0</v>
      </c>
      <c r="T86">
        <f t="shared" si="52"/>
        <v>0</v>
      </c>
      <c r="U86">
        <f>ROUND(CV86*I86,7)</f>
        <v>0</v>
      </c>
      <c r="V86">
        <f>ROUND(CW86*I86,7)</f>
        <v>0</v>
      </c>
      <c r="W86">
        <f t="shared" si="53"/>
        <v>0</v>
      </c>
      <c r="X86">
        <f t="shared" si="54"/>
        <v>0</v>
      </c>
      <c r="Y86">
        <f t="shared" si="55"/>
        <v>0</v>
      </c>
      <c r="AA86">
        <v>78397139</v>
      </c>
      <c r="AB86">
        <f t="shared" si="56"/>
        <v>64105.1</v>
      </c>
      <c r="AC86">
        <f>ROUND((ES86),6)</f>
        <v>64105.1</v>
      </c>
      <c r="AD86">
        <f>ROUND((((ET86)-(EU86))+AE86),6)</f>
        <v>0</v>
      </c>
      <c r="AE86">
        <f>ROUND((EU86),6)</f>
        <v>0</v>
      </c>
      <c r="AF86">
        <f>ROUND((EV86),6)</f>
        <v>0</v>
      </c>
      <c r="AG86">
        <f t="shared" si="57"/>
        <v>0</v>
      </c>
      <c r="AH86">
        <f>(EW86)</f>
        <v>0</v>
      </c>
      <c r="AI86">
        <f>(EX86)</f>
        <v>0</v>
      </c>
      <c r="AJ86">
        <f t="shared" si="58"/>
        <v>0</v>
      </c>
      <c r="AK86">
        <v>64105.1</v>
      </c>
      <c r="AL86">
        <v>64105.1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100</v>
      </c>
      <c r="AU86">
        <v>49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1.77</v>
      </c>
      <c r="BD86" t="s">
        <v>332</v>
      </c>
      <c r="BE86" t="s">
        <v>332</v>
      </c>
      <c r="BF86" t="s">
        <v>332</v>
      </c>
      <c r="BG86" t="s">
        <v>332</v>
      </c>
      <c r="BH86">
        <v>3</v>
      </c>
      <c r="BI86">
        <v>1</v>
      </c>
      <c r="BJ86" t="s">
        <v>510</v>
      </c>
      <c r="BM86">
        <v>15001</v>
      </c>
      <c r="BN86">
        <v>0</v>
      </c>
      <c r="BO86" t="s">
        <v>508</v>
      </c>
      <c r="BP86">
        <v>1</v>
      </c>
      <c r="BQ86">
        <v>2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332</v>
      </c>
      <c r="BZ86">
        <v>100</v>
      </c>
      <c r="CA86">
        <v>49</v>
      </c>
      <c r="CB86" t="s">
        <v>332</v>
      </c>
      <c r="CE86">
        <v>0</v>
      </c>
      <c r="CF86">
        <v>0</v>
      </c>
      <c r="CG86">
        <v>0</v>
      </c>
      <c r="CM86">
        <v>0</v>
      </c>
      <c r="CN86" t="s">
        <v>332</v>
      </c>
      <c r="CO86">
        <v>0</v>
      </c>
      <c r="CP86">
        <f t="shared" si="59"/>
        <v>74.89</v>
      </c>
      <c r="CQ86">
        <f>ROUND(AL86*BC86,2)</f>
        <v>113466.03</v>
      </c>
      <c r="CR86">
        <f>ROUND(AM86*BB86,2)</f>
        <v>0</v>
      </c>
      <c r="CS86">
        <f>ROUND(AN86*BS86,2)</f>
        <v>0</v>
      </c>
      <c r="CT86">
        <f>ROUND(AO86*BA86,2)</f>
        <v>0</v>
      </c>
      <c r="CU86">
        <f t="shared" si="60"/>
        <v>0</v>
      </c>
      <c r="CV86">
        <f>AH86</f>
        <v>0</v>
      </c>
      <c r="CW86">
        <f>AI86</f>
        <v>0</v>
      </c>
      <c r="CX86">
        <f t="shared" si="61"/>
        <v>0</v>
      </c>
      <c r="CY86">
        <f t="shared" si="62"/>
        <v>0</v>
      </c>
      <c r="CZ86">
        <f t="shared" si="63"/>
        <v>0</v>
      </c>
      <c r="DC86" t="s">
        <v>332</v>
      </c>
      <c r="DD86" t="s">
        <v>332</v>
      </c>
      <c r="DE86" t="s">
        <v>332</v>
      </c>
      <c r="DF86" t="s">
        <v>332</v>
      </c>
      <c r="DG86" t="s">
        <v>332</v>
      </c>
      <c r="DH86" t="s">
        <v>332</v>
      </c>
      <c r="DI86" t="s">
        <v>332</v>
      </c>
      <c r="DJ86" t="s">
        <v>332</v>
      </c>
      <c r="DK86" t="s">
        <v>332</v>
      </c>
      <c r="DL86" t="s">
        <v>332</v>
      </c>
      <c r="DM86" t="s">
        <v>332</v>
      </c>
      <c r="DN86">
        <v>0</v>
      </c>
      <c r="DO86">
        <v>0</v>
      </c>
      <c r="DP86">
        <v>1</v>
      </c>
      <c r="DQ86">
        <v>1</v>
      </c>
      <c r="DU86">
        <v>1009</v>
      </c>
      <c r="DV86" t="s">
        <v>87</v>
      </c>
      <c r="DW86" t="s">
        <v>87</v>
      </c>
      <c r="DX86">
        <v>1000</v>
      </c>
      <c r="DZ86" t="s">
        <v>332</v>
      </c>
      <c r="EA86" t="s">
        <v>332</v>
      </c>
      <c r="EB86" t="s">
        <v>332</v>
      </c>
      <c r="EC86" t="s">
        <v>332</v>
      </c>
      <c r="EE86">
        <v>77313118</v>
      </c>
      <c r="EF86">
        <v>2</v>
      </c>
      <c r="EG86" t="s">
        <v>391</v>
      </c>
      <c r="EH86">
        <v>15</v>
      </c>
      <c r="EI86" t="s">
        <v>403</v>
      </c>
      <c r="EJ86">
        <v>1</v>
      </c>
      <c r="EK86">
        <v>15001</v>
      </c>
      <c r="EL86" t="s">
        <v>403</v>
      </c>
      <c r="EM86" t="s">
        <v>404</v>
      </c>
      <c r="EO86" t="s">
        <v>332</v>
      </c>
      <c r="EQ86">
        <v>0</v>
      </c>
      <c r="ER86">
        <v>64105.1</v>
      </c>
      <c r="ES86">
        <v>64105.1</v>
      </c>
      <c r="ET86">
        <v>0</v>
      </c>
      <c r="EU86">
        <v>0</v>
      </c>
      <c r="EV86">
        <v>0</v>
      </c>
      <c r="EW86">
        <v>0</v>
      </c>
      <c r="EX86">
        <v>0</v>
      </c>
      <c r="FQ86">
        <v>0</v>
      </c>
      <c r="FR86">
        <v>0</v>
      </c>
      <c r="FS86">
        <v>0</v>
      </c>
      <c r="FX86">
        <v>100</v>
      </c>
      <c r="FY86">
        <v>49</v>
      </c>
      <c r="GA86" t="s">
        <v>332</v>
      </c>
      <c r="GD86">
        <v>1</v>
      </c>
      <c r="GF86">
        <v>1162606327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64"/>
        <v>0</v>
      </c>
      <c r="GM86">
        <f t="shared" si="65"/>
        <v>74.89</v>
      </c>
      <c r="GN86">
        <f t="shared" si="66"/>
        <v>74.89</v>
      </c>
      <c r="GO86">
        <f t="shared" si="67"/>
        <v>0</v>
      </c>
      <c r="GP86">
        <f t="shared" si="68"/>
        <v>0</v>
      </c>
      <c r="GR86">
        <v>0</v>
      </c>
      <c r="GS86">
        <v>3</v>
      </c>
      <c r="GT86">
        <v>0</v>
      </c>
      <c r="GU86" t="s">
        <v>332</v>
      </c>
      <c r="GV86">
        <f t="shared" si="69"/>
        <v>0</v>
      </c>
      <c r="GW86">
        <v>1</v>
      </c>
      <c r="GX86">
        <f t="shared" si="70"/>
        <v>0</v>
      </c>
      <c r="HA86">
        <v>0</v>
      </c>
      <c r="HB86">
        <v>0</v>
      </c>
      <c r="HC86">
        <f t="shared" si="71"/>
        <v>0</v>
      </c>
      <c r="HE86" t="s">
        <v>332</v>
      </c>
      <c r="HF86" t="s">
        <v>332</v>
      </c>
      <c r="HM86" t="s">
        <v>332</v>
      </c>
      <c r="HN86" t="s">
        <v>405</v>
      </c>
      <c r="HO86" t="s">
        <v>406</v>
      </c>
      <c r="HP86" t="s">
        <v>403</v>
      </c>
      <c r="HQ86" t="s">
        <v>403</v>
      </c>
      <c r="HS86">
        <v>0</v>
      </c>
      <c r="IK86">
        <v>0</v>
      </c>
    </row>
    <row r="87" spans="1:245" x14ac:dyDescent="0.25">
      <c r="A87">
        <v>18</v>
      </c>
      <c r="B87">
        <v>1</v>
      </c>
      <c r="C87">
        <v>102</v>
      </c>
      <c r="E87" t="s">
        <v>511</v>
      </c>
      <c r="F87" t="s">
        <v>512</v>
      </c>
      <c r="G87" t="s">
        <v>513</v>
      </c>
      <c r="H87" t="s">
        <v>87</v>
      </c>
      <c r="I87">
        <f>I85*J87</f>
        <v>4.4000000000000002E-4</v>
      </c>
      <c r="J87">
        <v>2.1999999999999999E-2</v>
      </c>
      <c r="K87">
        <v>2.1999999999999999E-2</v>
      </c>
      <c r="O87">
        <f t="shared" si="51"/>
        <v>98.38</v>
      </c>
      <c r="P87">
        <f>ROUND(CQ87*I87,2)</f>
        <v>98.38</v>
      </c>
      <c r="Q87">
        <f>ROUND(CR87*I87,2)</f>
        <v>0</v>
      </c>
      <c r="R87">
        <f>ROUND(CS87*I87,2)</f>
        <v>0</v>
      </c>
      <c r="S87">
        <f>ROUND(CT87*I87,2)</f>
        <v>0</v>
      </c>
      <c r="T87">
        <f t="shared" si="52"/>
        <v>0</v>
      </c>
      <c r="U87">
        <f>ROUND(CV87*I87,7)</f>
        <v>0</v>
      </c>
      <c r="V87">
        <f>ROUND(CW87*I87,7)</f>
        <v>0</v>
      </c>
      <c r="W87">
        <f t="shared" si="53"/>
        <v>0</v>
      </c>
      <c r="X87">
        <f t="shared" si="54"/>
        <v>0</v>
      </c>
      <c r="Y87">
        <f t="shared" si="55"/>
        <v>0</v>
      </c>
      <c r="AA87">
        <v>78397139</v>
      </c>
      <c r="AB87">
        <f t="shared" si="56"/>
        <v>178871.85</v>
      </c>
      <c r="AC87">
        <f>ROUND((ES87),6)</f>
        <v>178871.85</v>
      </c>
      <c r="AD87">
        <f>ROUND((((ET87)-(EU87))+AE87),6)</f>
        <v>0</v>
      </c>
      <c r="AE87">
        <f>ROUND((EU87),6)</f>
        <v>0</v>
      </c>
      <c r="AF87">
        <f>ROUND((EV87),6)</f>
        <v>0</v>
      </c>
      <c r="AG87">
        <f t="shared" si="57"/>
        <v>0</v>
      </c>
      <c r="AH87">
        <f>(EW87)</f>
        <v>0</v>
      </c>
      <c r="AI87">
        <f>(EX87)</f>
        <v>0</v>
      </c>
      <c r="AJ87">
        <f t="shared" si="58"/>
        <v>0</v>
      </c>
      <c r="AK87">
        <v>178871.85</v>
      </c>
      <c r="AL87">
        <v>178871.85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100</v>
      </c>
      <c r="AU87">
        <v>49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1.25</v>
      </c>
      <c r="BD87" t="s">
        <v>332</v>
      </c>
      <c r="BE87" t="s">
        <v>332</v>
      </c>
      <c r="BF87" t="s">
        <v>332</v>
      </c>
      <c r="BG87" t="s">
        <v>332</v>
      </c>
      <c r="BH87">
        <v>3</v>
      </c>
      <c r="BI87">
        <v>1</v>
      </c>
      <c r="BJ87" t="s">
        <v>514</v>
      </c>
      <c r="BM87">
        <v>15001</v>
      </c>
      <c r="BN87">
        <v>0</v>
      </c>
      <c r="BO87" t="s">
        <v>512</v>
      </c>
      <c r="BP87">
        <v>1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332</v>
      </c>
      <c r="BZ87">
        <v>100</v>
      </c>
      <c r="CA87">
        <v>49</v>
      </c>
      <c r="CB87" t="s">
        <v>332</v>
      </c>
      <c r="CE87">
        <v>0</v>
      </c>
      <c r="CF87">
        <v>0</v>
      </c>
      <c r="CG87">
        <v>0</v>
      </c>
      <c r="CM87">
        <v>0</v>
      </c>
      <c r="CN87" t="s">
        <v>332</v>
      </c>
      <c r="CO87">
        <v>0</v>
      </c>
      <c r="CP87">
        <f t="shared" si="59"/>
        <v>98.38</v>
      </c>
      <c r="CQ87">
        <f>ROUND(AL87*BC87,2)</f>
        <v>223589.81</v>
      </c>
      <c r="CR87">
        <f>ROUND(AM87*BB87,2)</f>
        <v>0</v>
      </c>
      <c r="CS87">
        <f>ROUND(AN87*BS87,2)</f>
        <v>0</v>
      </c>
      <c r="CT87">
        <f>ROUND(AO87*BA87,2)</f>
        <v>0</v>
      </c>
      <c r="CU87">
        <f t="shared" si="60"/>
        <v>0</v>
      </c>
      <c r="CV87">
        <f>AH87</f>
        <v>0</v>
      </c>
      <c r="CW87">
        <f>AI87</f>
        <v>0</v>
      </c>
      <c r="CX87">
        <f t="shared" si="61"/>
        <v>0</v>
      </c>
      <c r="CY87">
        <f t="shared" si="62"/>
        <v>0</v>
      </c>
      <c r="CZ87">
        <f t="shared" si="63"/>
        <v>0</v>
      </c>
      <c r="DC87" t="s">
        <v>332</v>
      </c>
      <c r="DD87" t="s">
        <v>332</v>
      </c>
      <c r="DE87" t="s">
        <v>332</v>
      </c>
      <c r="DF87" t="s">
        <v>332</v>
      </c>
      <c r="DG87" t="s">
        <v>332</v>
      </c>
      <c r="DH87" t="s">
        <v>332</v>
      </c>
      <c r="DI87" t="s">
        <v>332</v>
      </c>
      <c r="DJ87" t="s">
        <v>332</v>
      </c>
      <c r="DK87" t="s">
        <v>332</v>
      </c>
      <c r="DL87" t="s">
        <v>332</v>
      </c>
      <c r="DM87" t="s">
        <v>332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87</v>
      </c>
      <c r="DW87" t="s">
        <v>87</v>
      </c>
      <c r="DX87">
        <v>1000</v>
      </c>
      <c r="DZ87" t="s">
        <v>332</v>
      </c>
      <c r="EA87" t="s">
        <v>332</v>
      </c>
      <c r="EB87" t="s">
        <v>332</v>
      </c>
      <c r="EC87" t="s">
        <v>332</v>
      </c>
      <c r="EE87">
        <v>77313118</v>
      </c>
      <c r="EF87">
        <v>2</v>
      </c>
      <c r="EG87" t="s">
        <v>391</v>
      </c>
      <c r="EH87">
        <v>15</v>
      </c>
      <c r="EI87" t="s">
        <v>403</v>
      </c>
      <c r="EJ87">
        <v>1</v>
      </c>
      <c r="EK87">
        <v>15001</v>
      </c>
      <c r="EL87" t="s">
        <v>403</v>
      </c>
      <c r="EM87" t="s">
        <v>404</v>
      </c>
      <c r="EO87" t="s">
        <v>332</v>
      </c>
      <c r="EQ87">
        <v>0</v>
      </c>
      <c r="ER87">
        <v>178871.85</v>
      </c>
      <c r="ES87">
        <v>178871.85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v>0</v>
      </c>
      <c r="FS87">
        <v>0</v>
      </c>
      <c r="FX87">
        <v>100</v>
      </c>
      <c r="FY87">
        <v>49</v>
      </c>
      <c r="GA87" t="s">
        <v>332</v>
      </c>
      <c r="GD87">
        <v>1</v>
      </c>
      <c r="GF87">
        <v>-632305527</v>
      </c>
      <c r="GG87">
        <v>2</v>
      </c>
      <c r="GH87">
        <v>1</v>
      </c>
      <c r="GI87">
        <v>2</v>
      </c>
      <c r="GJ87">
        <v>0</v>
      </c>
      <c r="GK87">
        <v>0</v>
      </c>
      <c r="GL87">
        <f t="shared" si="64"/>
        <v>0</v>
      </c>
      <c r="GM87">
        <f t="shared" si="65"/>
        <v>98.38</v>
      </c>
      <c r="GN87">
        <f t="shared" si="66"/>
        <v>98.38</v>
      </c>
      <c r="GO87">
        <f t="shared" si="67"/>
        <v>0</v>
      </c>
      <c r="GP87">
        <f t="shared" si="68"/>
        <v>0</v>
      </c>
      <c r="GR87">
        <v>0</v>
      </c>
      <c r="GS87">
        <v>3</v>
      </c>
      <c r="GT87">
        <v>0</v>
      </c>
      <c r="GU87" t="s">
        <v>332</v>
      </c>
      <c r="GV87">
        <f t="shared" si="69"/>
        <v>0</v>
      </c>
      <c r="GW87">
        <v>1</v>
      </c>
      <c r="GX87">
        <f t="shared" si="70"/>
        <v>0</v>
      </c>
      <c r="HA87">
        <v>0</v>
      </c>
      <c r="HB87">
        <v>0</v>
      </c>
      <c r="HC87">
        <f t="shared" si="71"/>
        <v>0</v>
      </c>
      <c r="HE87" t="s">
        <v>332</v>
      </c>
      <c r="HF87" t="s">
        <v>332</v>
      </c>
      <c r="HM87" t="s">
        <v>332</v>
      </c>
      <c r="HN87" t="s">
        <v>405</v>
      </c>
      <c r="HO87" t="s">
        <v>406</v>
      </c>
      <c r="HP87" t="s">
        <v>403</v>
      </c>
      <c r="HQ87" t="s">
        <v>403</v>
      </c>
      <c r="HS87">
        <v>0</v>
      </c>
      <c r="IK87">
        <v>0</v>
      </c>
    </row>
    <row r="88" spans="1:245" x14ac:dyDescent="0.25">
      <c r="A88">
        <v>17</v>
      </c>
      <c r="B88">
        <v>1</v>
      </c>
      <c r="C88">
        <f>ROW(SmtRes!A111)</f>
        <v>111</v>
      </c>
      <c r="D88">
        <f>ROW(EtalonRes!A111)</f>
        <v>111</v>
      </c>
      <c r="E88" t="s">
        <v>274</v>
      </c>
      <c r="F88" t="s">
        <v>515</v>
      </c>
      <c r="G88" t="s">
        <v>516</v>
      </c>
      <c r="H88" t="s">
        <v>228</v>
      </c>
      <c r="I88">
        <f>ROUND(5/100,7)</f>
        <v>0.05</v>
      </c>
      <c r="J88">
        <v>0</v>
      </c>
      <c r="K88">
        <f>ROUND(5/100,7)</f>
        <v>0.05</v>
      </c>
      <c r="O88">
        <f t="shared" si="51"/>
        <v>11598.91</v>
      </c>
      <c r="P88">
        <f>SUMIF(SmtRes!AQ104:'SmtRes'!AQ111,"=1",SmtRes!DF104:'SmtRes'!DF111)</f>
        <v>992.59</v>
      </c>
      <c r="Q88">
        <f>SUMIF(SmtRes!AQ104:'SmtRes'!AQ111,"=1",SmtRes!DG104:'SmtRes'!DG111)</f>
        <v>51.46</v>
      </c>
      <c r="R88">
        <f>SUMIF(SmtRes!AQ104:'SmtRes'!AQ111,"=1",SmtRes!DH104:'SmtRes'!DH111)</f>
        <v>57.76</v>
      </c>
      <c r="S88">
        <f>SUMIF(SmtRes!AQ104:'SmtRes'!AQ111,"=1",SmtRes!DI104:'SmtRes'!DI111)</f>
        <v>10497.1</v>
      </c>
      <c r="T88">
        <f t="shared" si="52"/>
        <v>0</v>
      </c>
      <c r="U88">
        <f>SUMIF(SmtRes!AQ104:'SmtRes'!AQ111,"=1",SmtRes!CV104:'SmtRes'!CV111)</f>
        <v>15.4</v>
      </c>
      <c r="V88">
        <f>SUMIF(SmtRes!AQ104:'SmtRes'!AQ111,"=1",SmtRes!CW104:'SmtRes'!CW111)</f>
        <v>0.08</v>
      </c>
      <c r="W88">
        <f t="shared" si="53"/>
        <v>0</v>
      </c>
      <c r="X88">
        <f t="shared" si="54"/>
        <v>10871.51</v>
      </c>
      <c r="Y88">
        <f t="shared" si="55"/>
        <v>5488.53</v>
      </c>
      <c r="AA88">
        <v>78397139</v>
      </c>
      <c r="AB88">
        <f t="shared" si="56"/>
        <v>229067.97450000001</v>
      </c>
      <c r="AC88">
        <f>ROUND((SUM(SmtRes!BQ104:'SmtRes'!BQ111)),6)</f>
        <v>18096.6705</v>
      </c>
      <c r="AD88">
        <f>ROUND((((SUM(SmtRes!BR104:'SmtRes'!BR111))-(SUM(SmtRes!BS104:'SmtRes'!BS111)))+AE88),6)</f>
        <v>1029.2639999999999</v>
      </c>
      <c r="AE88">
        <f>ROUND((SUM(SmtRes!BS104:'SmtRes'!BS111)),6)</f>
        <v>1155.28</v>
      </c>
      <c r="AF88">
        <f>ROUND((SUM(SmtRes!BT104:'SmtRes'!BT111)),6)</f>
        <v>209942.04</v>
      </c>
      <c r="AG88">
        <f t="shared" si="57"/>
        <v>0</v>
      </c>
      <c r="AH88">
        <f>(SUM(SmtRes!BU104:'SmtRes'!BU111))</f>
        <v>308</v>
      </c>
      <c r="AI88">
        <f>(SUM(SmtRes!BV104:'SmtRes'!BV111))</f>
        <v>1.6</v>
      </c>
      <c r="AJ88">
        <f t="shared" si="58"/>
        <v>0</v>
      </c>
      <c r="AK88">
        <v>230223.25450000001</v>
      </c>
      <c r="AL88">
        <v>18096.6705</v>
      </c>
      <c r="AM88">
        <v>1029.2639999999999</v>
      </c>
      <c r="AN88">
        <v>1155.28</v>
      </c>
      <c r="AO88">
        <v>209942.04</v>
      </c>
      <c r="AP88">
        <v>0</v>
      </c>
      <c r="AQ88">
        <v>308</v>
      </c>
      <c r="AR88">
        <v>1.6</v>
      </c>
      <c r="AS88">
        <v>0</v>
      </c>
      <c r="AT88">
        <v>103</v>
      </c>
      <c r="AU88">
        <v>52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1</v>
      </c>
      <c r="BD88" t="s">
        <v>332</v>
      </c>
      <c r="BE88" t="s">
        <v>332</v>
      </c>
      <c r="BF88" t="s">
        <v>332</v>
      </c>
      <c r="BG88" t="s">
        <v>332</v>
      </c>
      <c r="BH88">
        <v>0</v>
      </c>
      <c r="BI88">
        <v>1</v>
      </c>
      <c r="BJ88" t="s">
        <v>517</v>
      </c>
      <c r="BM88">
        <v>65007</v>
      </c>
      <c r="BN88">
        <v>0</v>
      </c>
      <c r="BO88" t="s">
        <v>332</v>
      </c>
      <c r="BP88">
        <v>0</v>
      </c>
      <c r="BQ88">
        <v>6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332</v>
      </c>
      <c r="BZ88">
        <v>103</v>
      </c>
      <c r="CA88">
        <v>52</v>
      </c>
      <c r="CB88" t="s">
        <v>332</v>
      </c>
      <c r="CE88">
        <v>0</v>
      </c>
      <c r="CF88">
        <v>0</v>
      </c>
      <c r="CG88">
        <v>0</v>
      </c>
      <c r="CM88">
        <v>0</v>
      </c>
      <c r="CN88" t="s">
        <v>332</v>
      </c>
      <c r="CO88">
        <v>0</v>
      </c>
      <c r="CP88">
        <f t="shared" si="59"/>
        <v>11598.91</v>
      </c>
      <c r="CQ88">
        <f>SUMIF(SmtRes!AQ104:'SmtRes'!AQ111,"=1",SmtRes!AA104:'SmtRes'!AA111)</f>
        <v>173689.88</v>
      </c>
      <c r="CR88">
        <f>SUMIF(SmtRes!AQ104:'SmtRes'!AQ111,"=1",SmtRes!AB104:'SmtRes'!AB111)</f>
        <v>643.29</v>
      </c>
      <c r="CS88">
        <f>SUMIF(SmtRes!AQ104:'SmtRes'!AQ111,"=1",SmtRes!AC104:'SmtRes'!AC111)</f>
        <v>722.05</v>
      </c>
      <c r="CT88">
        <f>SUMIF(SmtRes!AQ104:'SmtRes'!AQ111,"=1",SmtRes!AD104:'SmtRes'!AD111)</f>
        <v>681.63</v>
      </c>
      <c r="CU88">
        <f t="shared" si="60"/>
        <v>0</v>
      </c>
      <c r="CV88">
        <f>SUMIF(SmtRes!AQ104:'SmtRes'!AQ111,"=1",SmtRes!BU104:'SmtRes'!BU111)</f>
        <v>308</v>
      </c>
      <c r="CW88">
        <f>SUMIF(SmtRes!AQ104:'SmtRes'!AQ111,"=1",SmtRes!BV104:'SmtRes'!BV111)</f>
        <v>1.6</v>
      </c>
      <c r="CX88">
        <f t="shared" si="61"/>
        <v>0</v>
      </c>
      <c r="CY88">
        <f t="shared" si="62"/>
        <v>10871.505800000001</v>
      </c>
      <c r="CZ88">
        <f t="shared" si="63"/>
        <v>5488.5271999999995</v>
      </c>
      <c r="DC88" t="s">
        <v>332</v>
      </c>
      <c r="DD88" t="s">
        <v>332</v>
      </c>
      <c r="DE88" t="s">
        <v>332</v>
      </c>
      <c r="DF88" t="s">
        <v>332</v>
      </c>
      <c r="DG88" t="s">
        <v>332</v>
      </c>
      <c r="DH88" t="s">
        <v>332</v>
      </c>
      <c r="DI88" t="s">
        <v>332</v>
      </c>
      <c r="DJ88" t="s">
        <v>332</v>
      </c>
      <c r="DK88" t="s">
        <v>332</v>
      </c>
      <c r="DL88" t="s">
        <v>332</v>
      </c>
      <c r="DM88" t="s">
        <v>332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228</v>
      </c>
      <c r="DW88" t="s">
        <v>228</v>
      </c>
      <c r="DX88">
        <v>1</v>
      </c>
      <c r="DZ88" t="s">
        <v>332</v>
      </c>
      <c r="EA88" t="s">
        <v>332</v>
      </c>
      <c r="EB88" t="s">
        <v>332</v>
      </c>
      <c r="EC88" t="s">
        <v>332</v>
      </c>
      <c r="EE88">
        <v>77313190</v>
      </c>
      <c r="EF88">
        <v>6</v>
      </c>
      <c r="EG88" t="s">
        <v>349</v>
      </c>
      <c r="EH88">
        <v>99</v>
      </c>
      <c r="EI88" t="s">
        <v>360</v>
      </c>
      <c r="EJ88">
        <v>1</v>
      </c>
      <c r="EK88">
        <v>65007</v>
      </c>
      <c r="EL88" t="s">
        <v>361</v>
      </c>
      <c r="EM88" t="s">
        <v>362</v>
      </c>
      <c r="EO88" t="s">
        <v>332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308</v>
      </c>
      <c r="EX88">
        <v>1.6</v>
      </c>
      <c r="EY88">
        <v>0</v>
      </c>
      <c r="FQ88">
        <v>0</v>
      </c>
      <c r="FR88">
        <v>0</v>
      </c>
      <c r="FS88">
        <v>0</v>
      </c>
      <c r="FX88">
        <v>103</v>
      </c>
      <c r="FY88">
        <v>52</v>
      </c>
      <c r="GA88" t="s">
        <v>332</v>
      </c>
      <c r="GD88">
        <v>1</v>
      </c>
      <c r="GF88">
        <v>121488922</v>
      </c>
      <c r="GG88">
        <v>2</v>
      </c>
      <c r="GH88">
        <v>1</v>
      </c>
      <c r="GI88">
        <v>-2</v>
      </c>
      <c r="GJ88">
        <v>0</v>
      </c>
      <c r="GK88">
        <v>0</v>
      </c>
      <c r="GL88">
        <f t="shared" si="64"/>
        <v>0</v>
      </c>
      <c r="GM88">
        <f t="shared" si="65"/>
        <v>27958.95</v>
      </c>
      <c r="GN88">
        <f t="shared" si="66"/>
        <v>27958.95</v>
      </c>
      <c r="GO88">
        <f t="shared" si="67"/>
        <v>0</v>
      </c>
      <c r="GP88">
        <f t="shared" si="68"/>
        <v>0</v>
      </c>
      <c r="GR88">
        <v>0</v>
      </c>
      <c r="GS88">
        <v>3</v>
      </c>
      <c r="GT88">
        <v>0</v>
      </c>
      <c r="GU88" t="s">
        <v>332</v>
      </c>
      <c r="GV88">
        <f t="shared" si="69"/>
        <v>0</v>
      </c>
      <c r="GW88">
        <v>1</v>
      </c>
      <c r="GX88">
        <f t="shared" si="70"/>
        <v>0</v>
      </c>
      <c r="HA88">
        <v>0</v>
      </c>
      <c r="HB88">
        <v>0</v>
      </c>
      <c r="HC88">
        <f t="shared" si="71"/>
        <v>0</v>
      </c>
      <c r="HE88" t="s">
        <v>332</v>
      </c>
      <c r="HF88" t="s">
        <v>332</v>
      </c>
      <c r="HM88" t="s">
        <v>332</v>
      </c>
      <c r="HN88" t="s">
        <v>90</v>
      </c>
      <c r="HO88" t="s">
        <v>92</v>
      </c>
      <c r="HP88" t="s">
        <v>361</v>
      </c>
      <c r="HQ88" t="s">
        <v>361</v>
      </c>
      <c r="HS88">
        <v>0</v>
      </c>
      <c r="IK88">
        <v>0</v>
      </c>
    </row>
    <row r="89" spans="1:245" x14ac:dyDescent="0.25">
      <c r="A89">
        <v>18</v>
      </c>
      <c r="B89">
        <v>1</v>
      </c>
      <c r="C89">
        <v>109</v>
      </c>
      <c r="E89" t="s">
        <v>518</v>
      </c>
      <c r="F89" t="s">
        <v>519</v>
      </c>
      <c r="G89" t="s">
        <v>520</v>
      </c>
      <c r="H89" t="s">
        <v>366</v>
      </c>
      <c r="I89">
        <f>I88*J89</f>
        <v>2</v>
      </c>
      <c r="J89">
        <v>40</v>
      </c>
      <c r="K89">
        <v>40</v>
      </c>
      <c r="O89">
        <f t="shared" si="51"/>
        <v>3141.62</v>
      </c>
      <c r="P89">
        <f>ROUND(CQ89*I89,2)</f>
        <v>3141.62</v>
      </c>
      <c r="Q89">
        <f>ROUND(CR89*I89,2)</f>
        <v>0</v>
      </c>
      <c r="R89">
        <f>ROUND(CS89*I89,2)</f>
        <v>0</v>
      </c>
      <c r="S89">
        <f>ROUND(CT89*I89,2)</f>
        <v>0</v>
      </c>
      <c r="T89">
        <f t="shared" si="52"/>
        <v>0</v>
      </c>
      <c r="U89">
        <f>ROUND(CV89*I89,7)</f>
        <v>0</v>
      </c>
      <c r="V89">
        <f>ROUND(CW89*I89,7)</f>
        <v>0</v>
      </c>
      <c r="W89">
        <f t="shared" si="53"/>
        <v>0</v>
      </c>
      <c r="X89">
        <f t="shared" si="54"/>
        <v>0</v>
      </c>
      <c r="Y89">
        <f t="shared" si="55"/>
        <v>0</v>
      </c>
      <c r="AA89">
        <v>78397139</v>
      </c>
      <c r="AB89">
        <f t="shared" si="56"/>
        <v>1138.27</v>
      </c>
      <c r="AC89">
        <f>ROUND((ES89),6)</f>
        <v>1138.27</v>
      </c>
      <c r="AD89">
        <f>ROUND((((ET89)-(EU89))+AE89),6)</f>
        <v>0</v>
      </c>
      <c r="AE89">
        <f t="shared" ref="AE89:AF91" si="75">ROUND((EU89),6)</f>
        <v>0</v>
      </c>
      <c r="AF89">
        <f t="shared" si="75"/>
        <v>0</v>
      </c>
      <c r="AG89">
        <f t="shared" si="57"/>
        <v>0</v>
      </c>
      <c r="AH89">
        <f t="shared" ref="AH89:AI91" si="76">(EW89)</f>
        <v>0</v>
      </c>
      <c r="AI89">
        <f t="shared" si="76"/>
        <v>0</v>
      </c>
      <c r="AJ89">
        <f t="shared" si="58"/>
        <v>0</v>
      </c>
      <c r="AK89">
        <v>1138.27</v>
      </c>
      <c r="AL89">
        <v>1138.27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52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1.38</v>
      </c>
      <c r="BD89" t="s">
        <v>332</v>
      </c>
      <c r="BE89" t="s">
        <v>332</v>
      </c>
      <c r="BF89" t="s">
        <v>332</v>
      </c>
      <c r="BG89" t="s">
        <v>332</v>
      </c>
      <c r="BH89">
        <v>3</v>
      </c>
      <c r="BI89">
        <v>1</v>
      </c>
      <c r="BJ89" t="s">
        <v>521</v>
      </c>
      <c r="BM89">
        <v>65007</v>
      </c>
      <c r="BN89">
        <v>0</v>
      </c>
      <c r="BO89" t="s">
        <v>519</v>
      </c>
      <c r="BP89">
        <v>1</v>
      </c>
      <c r="BQ89">
        <v>6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332</v>
      </c>
      <c r="BZ89">
        <v>103</v>
      </c>
      <c r="CA89">
        <v>52</v>
      </c>
      <c r="CB89" t="s">
        <v>332</v>
      </c>
      <c r="CE89">
        <v>0</v>
      </c>
      <c r="CF89">
        <v>0</v>
      </c>
      <c r="CG89">
        <v>0</v>
      </c>
      <c r="CM89">
        <v>0</v>
      </c>
      <c r="CN89" t="s">
        <v>332</v>
      </c>
      <c r="CO89">
        <v>0</v>
      </c>
      <c r="CP89">
        <f t="shared" si="59"/>
        <v>3141.62</v>
      </c>
      <c r="CQ89">
        <f>ROUND(AL89*BC89,2)</f>
        <v>1570.81</v>
      </c>
      <c r="CR89">
        <f>ROUND(AM89*BB89,2)</f>
        <v>0</v>
      </c>
      <c r="CS89">
        <f>ROUND(AN89*BS89,2)</f>
        <v>0</v>
      </c>
      <c r="CT89">
        <f>ROUND(AO89*BA89,2)</f>
        <v>0</v>
      </c>
      <c r="CU89">
        <f t="shared" si="60"/>
        <v>0</v>
      </c>
      <c r="CV89">
        <f t="shared" ref="CV89:CW91" si="77">AH89</f>
        <v>0</v>
      </c>
      <c r="CW89">
        <f t="shared" si="77"/>
        <v>0</v>
      </c>
      <c r="CX89">
        <f t="shared" si="61"/>
        <v>0</v>
      </c>
      <c r="CY89">
        <f t="shared" si="62"/>
        <v>0</v>
      </c>
      <c r="CZ89">
        <f t="shared" si="63"/>
        <v>0</v>
      </c>
      <c r="DC89" t="s">
        <v>332</v>
      </c>
      <c r="DD89" t="s">
        <v>332</v>
      </c>
      <c r="DE89" t="s">
        <v>332</v>
      </c>
      <c r="DF89" t="s">
        <v>332</v>
      </c>
      <c r="DG89" t="s">
        <v>332</v>
      </c>
      <c r="DH89" t="s">
        <v>332</v>
      </c>
      <c r="DI89" t="s">
        <v>332</v>
      </c>
      <c r="DJ89" t="s">
        <v>332</v>
      </c>
      <c r="DK89" t="s">
        <v>332</v>
      </c>
      <c r="DL89" t="s">
        <v>332</v>
      </c>
      <c r="DM89" t="s">
        <v>332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366</v>
      </c>
      <c r="DW89" t="s">
        <v>366</v>
      </c>
      <c r="DX89">
        <v>1</v>
      </c>
      <c r="DZ89" t="s">
        <v>332</v>
      </c>
      <c r="EA89" t="s">
        <v>332</v>
      </c>
      <c r="EB89" t="s">
        <v>332</v>
      </c>
      <c r="EC89" t="s">
        <v>332</v>
      </c>
      <c r="EE89">
        <v>77313190</v>
      </c>
      <c r="EF89">
        <v>6</v>
      </c>
      <c r="EG89" t="s">
        <v>349</v>
      </c>
      <c r="EH89">
        <v>99</v>
      </c>
      <c r="EI89" t="s">
        <v>360</v>
      </c>
      <c r="EJ89">
        <v>1</v>
      </c>
      <c r="EK89">
        <v>65007</v>
      </c>
      <c r="EL89" t="s">
        <v>361</v>
      </c>
      <c r="EM89" t="s">
        <v>362</v>
      </c>
      <c r="EO89" t="s">
        <v>332</v>
      </c>
      <c r="EQ89">
        <v>0</v>
      </c>
      <c r="ER89">
        <v>1138.27</v>
      </c>
      <c r="ES89">
        <v>1138.27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v>0</v>
      </c>
      <c r="FS89">
        <v>0</v>
      </c>
      <c r="FX89">
        <v>103</v>
      </c>
      <c r="FY89">
        <v>52</v>
      </c>
      <c r="GA89" t="s">
        <v>332</v>
      </c>
      <c r="GD89">
        <v>1</v>
      </c>
      <c r="GF89">
        <v>723519388</v>
      </c>
      <c r="GG89">
        <v>2</v>
      </c>
      <c r="GH89">
        <v>1</v>
      </c>
      <c r="GI89">
        <v>2</v>
      </c>
      <c r="GJ89">
        <v>0</v>
      </c>
      <c r="GK89">
        <v>0</v>
      </c>
      <c r="GL89">
        <f t="shared" si="64"/>
        <v>0</v>
      </c>
      <c r="GM89">
        <f t="shared" si="65"/>
        <v>3141.62</v>
      </c>
      <c r="GN89">
        <f t="shared" si="66"/>
        <v>3141.62</v>
      </c>
      <c r="GO89">
        <f t="shared" si="67"/>
        <v>0</v>
      </c>
      <c r="GP89">
        <f t="shared" si="68"/>
        <v>0</v>
      </c>
      <c r="GR89">
        <v>0</v>
      </c>
      <c r="GS89">
        <v>3</v>
      </c>
      <c r="GT89">
        <v>0</v>
      </c>
      <c r="GU89" t="s">
        <v>332</v>
      </c>
      <c r="GV89">
        <f t="shared" si="69"/>
        <v>0</v>
      </c>
      <c r="GW89">
        <v>1</v>
      </c>
      <c r="GX89">
        <f t="shared" si="70"/>
        <v>0</v>
      </c>
      <c r="HA89">
        <v>0</v>
      </c>
      <c r="HB89">
        <v>0</v>
      </c>
      <c r="HC89">
        <f t="shared" si="71"/>
        <v>0</v>
      </c>
      <c r="HE89" t="s">
        <v>332</v>
      </c>
      <c r="HF89" t="s">
        <v>332</v>
      </c>
      <c r="HM89" t="s">
        <v>332</v>
      </c>
      <c r="HN89" t="s">
        <v>90</v>
      </c>
      <c r="HO89" t="s">
        <v>92</v>
      </c>
      <c r="HP89" t="s">
        <v>361</v>
      </c>
      <c r="HQ89" t="s">
        <v>361</v>
      </c>
      <c r="HS89">
        <v>0</v>
      </c>
      <c r="IK89">
        <v>0</v>
      </c>
    </row>
    <row r="90" spans="1:245" x14ac:dyDescent="0.25">
      <c r="A90">
        <v>18</v>
      </c>
      <c r="B90">
        <v>1</v>
      </c>
      <c r="C90">
        <v>110</v>
      </c>
      <c r="E90" t="s">
        <v>522</v>
      </c>
      <c r="F90" t="s">
        <v>523</v>
      </c>
      <c r="G90" t="s">
        <v>524</v>
      </c>
      <c r="H90" t="s">
        <v>366</v>
      </c>
      <c r="I90">
        <f>I88*J90</f>
        <v>3</v>
      </c>
      <c r="J90">
        <v>60</v>
      </c>
      <c r="K90">
        <v>60</v>
      </c>
      <c r="O90">
        <f t="shared" si="51"/>
        <v>18501.54</v>
      </c>
      <c r="P90">
        <f>ROUND(CQ90*I90,2)</f>
        <v>18501.54</v>
      </c>
      <c r="Q90">
        <f>ROUND(CR90*I90,2)</f>
        <v>0</v>
      </c>
      <c r="R90">
        <f>ROUND(CS90*I90,2)</f>
        <v>0</v>
      </c>
      <c r="S90">
        <f>ROUND(CT90*I90,2)</f>
        <v>0</v>
      </c>
      <c r="T90">
        <f t="shared" si="52"/>
        <v>0</v>
      </c>
      <c r="U90">
        <f>ROUND(CV90*I90,7)</f>
        <v>0</v>
      </c>
      <c r="V90">
        <f>ROUND(CW90*I90,7)</f>
        <v>0</v>
      </c>
      <c r="W90">
        <f t="shared" si="53"/>
        <v>0</v>
      </c>
      <c r="X90">
        <f t="shared" si="54"/>
        <v>0</v>
      </c>
      <c r="Y90">
        <f t="shared" si="55"/>
        <v>0</v>
      </c>
      <c r="AA90">
        <v>78397139</v>
      </c>
      <c r="AB90">
        <f t="shared" si="56"/>
        <v>4468.97</v>
      </c>
      <c r="AC90">
        <f>ROUND((ES90),6)</f>
        <v>4468.97</v>
      </c>
      <c r="AD90">
        <f>ROUND((((ET90)-(EU90))+AE90),6)</f>
        <v>0</v>
      </c>
      <c r="AE90">
        <f t="shared" si="75"/>
        <v>0</v>
      </c>
      <c r="AF90">
        <f t="shared" si="75"/>
        <v>0</v>
      </c>
      <c r="AG90">
        <f t="shared" si="57"/>
        <v>0</v>
      </c>
      <c r="AH90">
        <f t="shared" si="76"/>
        <v>0</v>
      </c>
      <c r="AI90">
        <f t="shared" si="76"/>
        <v>0</v>
      </c>
      <c r="AJ90">
        <f t="shared" si="58"/>
        <v>0</v>
      </c>
      <c r="AK90">
        <v>4468.97</v>
      </c>
      <c r="AL90">
        <v>4468.97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103</v>
      </c>
      <c r="AU90">
        <v>52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1.38</v>
      </c>
      <c r="BD90" t="s">
        <v>332</v>
      </c>
      <c r="BE90" t="s">
        <v>332</v>
      </c>
      <c r="BF90" t="s">
        <v>332</v>
      </c>
      <c r="BG90" t="s">
        <v>332</v>
      </c>
      <c r="BH90">
        <v>3</v>
      </c>
      <c r="BI90">
        <v>1</v>
      </c>
      <c r="BJ90" t="s">
        <v>525</v>
      </c>
      <c r="BM90">
        <v>65007</v>
      </c>
      <c r="BN90">
        <v>0</v>
      </c>
      <c r="BO90" t="s">
        <v>523</v>
      </c>
      <c r="BP90">
        <v>1</v>
      </c>
      <c r="BQ90">
        <v>6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332</v>
      </c>
      <c r="BZ90">
        <v>103</v>
      </c>
      <c r="CA90">
        <v>52</v>
      </c>
      <c r="CB90" t="s">
        <v>332</v>
      </c>
      <c r="CE90">
        <v>0</v>
      </c>
      <c r="CF90">
        <v>0</v>
      </c>
      <c r="CG90">
        <v>0</v>
      </c>
      <c r="CM90">
        <v>0</v>
      </c>
      <c r="CN90" t="s">
        <v>332</v>
      </c>
      <c r="CO90">
        <v>0</v>
      </c>
      <c r="CP90">
        <f t="shared" si="59"/>
        <v>18501.54</v>
      </c>
      <c r="CQ90">
        <f>ROUND(AL90*BC90,2)</f>
        <v>6167.18</v>
      </c>
      <c r="CR90">
        <f>ROUND(AM90*BB90,2)</f>
        <v>0</v>
      </c>
      <c r="CS90">
        <f>ROUND(AN90*BS90,2)</f>
        <v>0</v>
      </c>
      <c r="CT90">
        <f>ROUND(AO90*BA90,2)</f>
        <v>0</v>
      </c>
      <c r="CU90">
        <f t="shared" si="60"/>
        <v>0</v>
      </c>
      <c r="CV90">
        <f t="shared" si="77"/>
        <v>0</v>
      </c>
      <c r="CW90">
        <f t="shared" si="77"/>
        <v>0</v>
      </c>
      <c r="CX90">
        <f t="shared" si="61"/>
        <v>0</v>
      </c>
      <c r="CY90">
        <f t="shared" si="62"/>
        <v>0</v>
      </c>
      <c r="CZ90">
        <f t="shared" si="63"/>
        <v>0</v>
      </c>
      <c r="DC90" t="s">
        <v>332</v>
      </c>
      <c r="DD90" t="s">
        <v>332</v>
      </c>
      <c r="DE90" t="s">
        <v>332</v>
      </c>
      <c r="DF90" t="s">
        <v>332</v>
      </c>
      <c r="DG90" t="s">
        <v>332</v>
      </c>
      <c r="DH90" t="s">
        <v>332</v>
      </c>
      <c r="DI90" t="s">
        <v>332</v>
      </c>
      <c r="DJ90" t="s">
        <v>332</v>
      </c>
      <c r="DK90" t="s">
        <v>332</v>
      </c>
      <c r="DL90" t="s">
        <v>332</v>
      </c>
      <c r="DM90" t="s">
        <v>332</v>
      </c>
      <c r="DN90">
        <v>0</v>
      </c>
      <c r="DO90">
        <v>0</v>
      </c>
      <c r="DP90">
        <v>1</v>
      </c>
      <c r="DQ90">
        <v>1</v>
      </c>
      <c r="DU90">
        <v>1013</v>
      </c>
      <c r="DV90" t="s">
        <v>366</v>
      </c>
      <c r="DW90" t="s">
        <v>366</v>
      </c>
      <c r="DX90">
        <v>1</v>
      </c>
      <c r="DZ90" t="s">
        <v>332</v>
      </c>
      <c r="EA90" t="s">
        <v>332</v>
      </c>
      <c r="EB90" t="s">
        <v>332</v>
      </c>
      <c r="EC90" t="s">
        <v>332</v>
      </c>
      <c r="EE90">
        <v>77313190</v>
      </c>
      <c r="EF90">
        <v>6</v>
      </c>
      <c r="EG90" t="s">
        <v>349</v>
      </c>
      <c r="EH90">
        <v>99</v>
      </c>
      <c r="EI90" t="s">
        <v>360</v>
      </c>
      <c r="EJ90">
        <v>1</v>
      </c>
      <c r="EK90">
        <v>65007</v>
      </c>
      <c r="EL90" t="s">
        <v>361</v>
      </c>
      <c r="EM90" t="s">
        <v>362</v>
      </c>
      <c r="EO90" t="s">
        <v>332</v>
      </c>
      <c r="EQ90">
        <v>0</v>
      </c>
      <c r="ER90">
        <v>4468.97</v>
      </c>
      <c r="ES90">
        <v>4468.97</v>
      </c>
      <c r="ET90">
        <v>0</v>
      </c>
      <c r="EU90">
        <v>0</v>
      </c>
      <c r="EV90">
        <v>0</v>
      </c>
      <c r="EW90">
        <v>0</v>
      </c>
      <c r="EX90">
        <v>0</v>
      </c>
      <c r="FQ90">
        <v>0</v>
      </c>
      <c r="FR90">
        <v>0</v>
      </c>
      <c r="FS90">
        <v>0</v>
      </c>
      <c r="FX90">
        <v>103</v>
      </c>
      <c r="FY90">
        <v>52</v>
      </c>
      <c r="GA90" t="s">
        <v>332</v>
      </c>
      <c r="GD90">
        <v>1</v>
      </c>
      <c r="GF90">
        <v>-1048499468</v>
      </c>
      <c r="GG90">
        <v>2</v>
      </c>
      <c r="GH90">
        <v>1</v>
      </c>
      <c r="GI90">
        <v>2</v>
      </c>
      <c r="GJ90">
        <v>0</v>
      </c>
      <c r="GK90">
        <v>0</v>
      </c>
      <c r="GL90">
        <f t="shared" si="64"/>
        <v>0</v>
      </c>
      <c r="GM90">
        <f t="shared" si="65"/>
        <v>18501.54</v>
      </c>
      <c r="GN90">
        <f t="shared" si="66"/>
        <v>18501.54</v>
      </c>
      <c r="GO90">
        <f t="shared" si="67"/>
        <v>0</v>
      </c>
      <c r="GP90">
        <f t="shared" si="68"/>
        <v>0</v>
      </c>
      <c r="GR90">
        <v>0</v>
      </c>
      <c r="GS90">
        <v>3</v>
      </c>
      <c r="GT90">
        <v>0</v>
      </c>
      <c r="GU90" t="s">
        <v>332</v>
      </c>
      <c r="GV90">
        <f t="shared" si="69"/>
        <v>0</v>
      </c>
      <c r="GW90">
        <v>1</v>
      </c>
      <c r="GX90">
        <f t="shared" si="70"/>
        <v>0</v>
      </c>
      <c r="HA90">
        <v>0</v>
      </c>
      <c r="HB90">
        <v>0</v>
      </c>
      <c r="HC90">
        <f t="shared" si="71"/>
        <v>0</v>
      </c>
      <c r="HE90" t="s">
        <v>332</v>
      </c>
      <c r="HF90" t="s">
        <v>332</v>
      </c>
      <c r="HM90" t="s">
        <v>332</v>
      </c>
      <c r="HN90" t="s">
        <v>90</v>
      </c>
      <c r="HO90" t="s">
        <v>92</v>
      </c>
      <c r="HP90" t="s">
        <v>361</v>
      </c>
      <c r="HQ90" t="s">
        <v>361</v>
      </c>
      <c r="HS90">
        <v>0</v>
      </c>
      <c r="IK90">
        <v>0</v>
      </c>
    </row>
    <row r="91" spans="1:245" x14ac:dyDescent="0.25">
      <c r="A91">
        <v>18</v>
      </c>
      <c r="B91">
        <v>1</v>
      </c>
      <c r="C91">
        <v>111</v>
      </c>
      <c r="E91" t="s">
        <v>526</v>
      </c>
      <c r="F91" t="s">
        <v>369</v>
      </c>
      <c r="G91" t="s">
        <v>370</v>
      </c>
      <c r="H91" t="s">
        <v>87</v>
      </c>
      <c r="I91">
        <f>I88*J91</f>
        <v>0.09</v>
      </c>
      <c r="J91">
        <v>1.8</v>
      </c>
      <c r="K91">
        <v>1.8</v>
      </c>
      <c r="O91">
        <f t="shared" si="51"/>
        <v>0</v>
      </c>
      <c r="P91">
        <f>ROUND(CQ91*I91,2)</f>
        <v>0</v>
      </c>
      <c r="Q91">
        <f>ROUND(CR91*I91,2)</f>
        <v>0</v>
      </c>
      <c r="R91">
        <f>ROUND(CS91*I91,2)</f>
        <v>0</v>
      </c>
      <c r="S91">
        <f>ROUND(CT91*I91,2)</f>
        <v>0</v>
      </c>
      <c r="T91">
        <f t="shared" si="52"/>
        <v>0</v>
      </c>
      <c r="U91">
        <f>ROUND(CV91*I91,7)</f>
        <v>0</v>
      </c>
      <c r="V91">
        <f>ROUND(CW91*I91,7)</f>
        <v>0</v>
      </c>
      <c r="W91">
        <f t="shared" si="53"/>
        <v>0</v>
      </c>
      <c r="X91">
        <f t="shared" si="54"/>
        <v>0</v>
      </c>
      <c r="Y91">
        <f t="shared" si="55"/>
        <v>0</v>
      </c>
      <c r="AA91">
        <v>78397139</v>
      </c>
      <c r="AB91">
        <f t="shared" si="56"/>
        <v>0</v>
      </c>
      <c r="AC91">
        <f>ROUND((ES91),6)</f>
        <v>0</v>
      </c>
      <c r="AD91">
        <f>ROUND((((ET91)-(EU91))+AE91),6)</f>
        <v>0</v>
      </c>
      <c r="AE91">
        <f t="shared" si="75"/>
        <v>0</v>
      </c>
      <c r="AF91">
        <f t="shared" si="75"/>
        <v>0</v>
      </c>
      <c r="AG91">
        <f t="shared" si="57"/>
        <v>0</v>
      </c>
      <c r="AH91">
        <f t="shared" si="76"/>
        <v>0</v>
      </c>
      <c r="AI91">
        <f t="shared" si="76"/>
        <v>0</v>
      </c>
      <c r="AJ91">
        <f t="shared" si="58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52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332</v>
      </c>
      <c r="BE91" t="s">
        <v>332</v>
      </c>
      <c r="BF91" t="s">
        <v>332</v>
      </c>
      <c r="BG91" t="s">
        <v>332</v>
      </c>
      <c r="BH91">
        <v>3</v>
      </c>
      <c r="BI91">
        <v>1</v>
      </c>
      <c r="BJ91" t="s">
        <v>332</v>
      </c>
      <c r="BM91">
        <v>65007</v>
      </c>
      <c r="BN91">
        <v>0</v>
      </c>
      <c r="BO91" t="s">
        <v>332</v>
      </c>
      <c r="BP91">
        <v>0</v>
      </c>
      <c r="BQ91">
        <v>6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332</v>
      </c>
      <c r="BZ91">
        <v>103</v>
      </c>
      <c r="CA91">
        <v>52</v>
      </c>
      <c r="CB91" t="s">
        <v>332</v>
      </c>
      <c r="CE91">
        <v>0</v>
      </c>
      <c r="CF91">
        <v>0</v>
      </c>
      <c r="CG91">
        <v>0</v>
      </c>
      <c r="CM91">
        <v>0</v>
      </c>
      <c r="CN91" t="s">
        <v>332</v>
      </c>
      <c r="CO91">
        <v>0</v>
      </c>
      <c r="CP91">
        <f t="shared" si="59"/>
        <v>0</v>
      </c>
      <c r="CQ91">
        <f>ROUND(AL91*BC91,2)</f>
        <v>0</v>
      </c>
      <c r="CR91">
        <f>ROUND(AM91*BB91,2)</f>
        <v>0</v>
      </c>
      <c r="CS91">
        <f>ROUND(AN91*BS91,2)</f>
        <v>0</v>
      </c>
      <c r="CT91">
        <f>ROUND(AO91*BA91,2)</f>
        <v>0</v>
      </c>
      <c r="CU91">
        <f t="shared" si="60"/>
        <v>0</v>
      </c>
      <c r="CV91">
        <f t="shared" si="77"/>
        <v>0</v>
      </c>
      <c r="CW91">
        <f t="shared" si="77"/>
        <v>0</v>
      </c>
      <c r="CX91">
        <f t="shared" si="61"/>
        <v>0</v>
      </c>
      <c r="CY91">
        <f t="shared" si="62"/>
        <v>0</v>
      </c>
      <c r="CZ91">
        <f t="shared" si="63"/>
        <v>0</v>
      </c>
      <c r="DC91" t="s">
        <v>332</v>
      </c>
      <c r="DD91" t="s">
        <v>332</v>
      </c>
      <c r="DE91" t="s">
        <v>332</v>
      </c>
      <c r="DF91" t="s">
        <v>332</v>
      </c>
      <c r="DG91" t="s">
        <v>332</v>
      </c>
      <c r="DH91" t="s">
        <v>332</v>
      </c>
      <c r="DI91" t="s">
        <v>332</v>
      </c>
      <c r="DJ91" t="s">
        <v>332</v>
      </c>
      <c r="DK91" t="s">
        <v>332</v>
      </c>
      <c r="DL91" t="s">
        <v>332</v>
      </c>
      <c r="DM91" t="s">
        <v>332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87</v>
      </c>
      <c r="DW91" t="s">
        <v>87</v>
      </c>
      <c r="DX91">
        <v>1000</v>
      </c>
      <c r="DZ91" t="s">
        <v>332</v>
      </c>
      <c r="EA91" t="s">
        <v>332</v>
      </c>
      <c r="EB91" t="s">
        <v>332</v>
      </c>
      <c r="EC91" t="s">
        <v>332</v>
      </c>
      <c r="EE91">
        <v>77313190</v>
      </c>
      <c r="EF91">
        <v>6</v>
      </c>
      <c r="EG91" t="s">
        <v>349</v>
      </c>
      <c r="EH91">
        <v>99</v>
      </c>
      <c r="EI91" t="s">
        <v>360</v>
      </c>
      <c r="EJ91">
        <v>1</v>
      </c>
      <c r="EK91">
        <v>65007</v>
      </c>
      <c r="EL91" t="s">
        <v>361</v>
      </c>
      <c r="EM91" t="s">
        <v>362</v>
      </c>
      <c r="EO91" t="s">
        <v>332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v>0</v>
      </c>
      <c r="FS91">
        <v>0</v>
      </c>
      <c r="FX91">
        <v>103</v>
      </c>
      <c r="FY91">
        <v>52</v>
      </c>
      <c r="GA91" t="s">
        <v>332</v>
      </c>
      <c r="GD91">
        <v>1</v>
      </c>
      <c r="GF91">
        <v>-1296435862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64"/>
        <v>0</v>
      </c>
      <c r="GM91">
        <f t="shared" si="65"/>
        <v>0</v>
      </c>
      <c r="GN91">
        <f t="shared" si="66"/>
        <v>0</v>
      </c>
      <c r="GO91">
        <f t="shared" si="67"/>
        <v>0</v>
      </c>
      <c r="GP91">
        <f t="shared" si="68"/>
        <v>0</v>
      </c>
      <c r="GR91">
        <v>0</v>
      </c>
      <c r="GS91">
        <v>3</v>
      </c>
      <c r="GT91">
        <v>0</v>
      </c>
      <c r="GU91" t="s">
        <v>332</v>
      </c>
      <c r="GV91">
        <f t="shared" si="69"/>
        <v>0</v>
      </c>
      <c r="GW91">
        <v>1</v>
      </c>
      <c r="GX91">
        <f t="shared" si="70"/>
        <v>0</v>
      </c>
      <c r="HA91">
        <v>0</v>
      </c>
      <c r="HB91">
        <v>0</v>
      </c>
      <c r="HC91">
        <f t="shared" si="71"/>
        <v>0</v>
      </c>
      <c r="HE91" t="s">
        <v>332</v>
      </c>
      <c r="HF91" t="s">
        <v>332</v>
      </c>
      <c r="HM91" t="s">
        <v>332</v>
      </c>
      <c r="HN91" t="s">
        <v>90</v>
      </c>
      <c r="HO91" t="s">
        <v>92</v>
      </c>
      <c r="HP91" t="s">
        <v>361</v>
      </c>
      <c r="HQ91" t="s">
        <v>361</v>
      </c>
      <c r="HS91">
        <v>0</v>
      </c>
      <c r="IK91">
        <v>0</v>
      </c>
    </row>
    <row r="93" spans="1:245" x14ac:dyDescent="0.25">
      <c r="A93" s="7">
        <v>51</v>
      </c>
      <c r="B93" s="7">
        <f>B72</f>
        <v>1</v>
      </c>
      <c r="C93" s="7">
        <f>A72</f>
        <v>4</v>
      </c>
      <c r="D93" s="7">
        <f>ROW(A72)</f>
        <v>72</v>
      </c>
      <c r="E93" s="7"/>
      <c r="F93" s="7" t="str">
        <f>IF(F72&lt;&gt;"",F72,"")</f>
        <v>Новый раздел</v>
      </c>
      <c r="G93" s="7" t="str">
        <f>IF(G72&lt;&gt;"",G72,"")</f>
        <v>Работа 2</v>
      </c>
      <c r="H93" s="7">
        <v>0</v>
      </c>
      <c r="I93" s="7"/>
      <c r="J93" s="7"/>
      <c r="K93" s="7"/>
      <c r="L93" s="7"/>
      <c r="M93" s="7"/>
      <c r="N93" s="7"/>
      <c r="O93" s="7">
        <f t="shared" ref="O93:T93" si="78">ROUND(AB93,2)</f>
        <v>45535.65</v>
      </c>
      <c r="P93" s="7">
        <f t="shared" si="78"/>
        <v>29621.1</v>
      </c>
      <c r="Q93" s="7">
        <f t="shared" si="78"/>
        <v>87</v>
      </c>
      <c r="R93" s="7">
        <f t="shared" si="78"/>
        <v>81.91</v>
      </c>
      <c r="S93" s="7">
        <f t="shared" si="78"/>
        <v>15745.64</v>
      </c>
      <c r="T93" s="7">
        <f t="shared" si="78"/>
        <v>0</v>
      </c>
      <c r="U93" s="7">
        <f>AH93</f>
        <v>22.923539999999999</v>
      </c>
      <c r="V93" s="7">
        <f>AI93</f>
        <v>0.1134</v>
      </c>
      <c r="W93" s="7">
        <f>ROUND(AJ93,2)</f>
        <v>0</v>
      </c>
      <c r="X93" s="7">
        <f>ROUND(AK93,2)</f>
        <v>16056.43</v>
      </c>
      <c r="Y93" s="7">
        <f>ROUND(AL93,2)</f>
        <v>8029.12</v>
      </c>
      <c r="Z93" s="7"/>
      <c r="AA93" s="7"/>
      <c r="AB93" s="7">
        <f>ROUND(SUMIF(AA76:AA91,"=78397139",O76:O91),2)</f>
        <v>45535.65</v>
      </c>
      <c r="AC93" s="7">
        <f>ROUND(SUMIF(AA76:AA91,"=78397139",P76:P91),2)</f>
        <v>29621.1</v>
      </c>
      <c r="AD93" s="7">
        <f>ROUND(SUMIF(AA76:AA91,"=78397139",Q76:Q91),2)</f>
        <v>87</v>
      </c>
      <c r="AE93" s="7">
        <f>ROUND(SUMIF(AA76:AA91,"=78397139",R76:R91),2)</f>
        <v>81.91</v>
      </c>
      <c r="AF93" s="7">
        <f>ROUND(SUMIF(AA76:AA91,"=78397139",S76:S91),2)</f>
        <v>15745.64</v>
      </c>
      <c r="AG93" s="7">
        <f>ROUND(SUMIF(AA76:AA91,"=78397139",T76:T91),2)</f>
        <v>0</v>
      </c>
      <c r="AH93" s="7">
        <f>SUMIF(AA76:AA91,"=78397139",U76:U91)</f>
        <v>22.923539999999999</v>
      </c>
      <c r="AI93" s="7">
        <f>SUMIF(AA76:AA91,"=78397139",V76:V91)</f>
        <v>0.1134</v>
      </c>
      <c r="AJ93" s="7">
        <f>ROUND(SUMIF(AA76:AA91,"=78397139",W76:W91),2)</f>
        <v>0</v>
      </c>
      <c r="AK93" s="7">
        <f>ROUND(SUMIF(AA76:AA91,"=78397139",X76:X91),2)</f>
        <v>16056.43</v>
      </c>
      <c r="AL93" s="7">
        <f>ROUND(SUMIF(AA76:AA91,"=78397139",Y76:Y91),2)</f>
        <v>8029.12</v>
      </c>
      <c r="AM93" s="7"/>
      <c r="AN93" s="7"/>
      <c r="AO93" s="7">
        <f t="shared" ref="AO93:BD93" si="79">ROUND(BX93,2)</f>
        <v>0</v>
      </c>
      <c r="AP93" s="7">
        <f t="shared" si="79"/>
        <v>0</v>
      </c>
      <c r="AQ93" s="7">
        <f t="shared" si="79"/>
        <v>0</v>
      </c>
      <c r="AR93" s="7">
        <f t="shared" si="79"/>
        <v>69621.2</v>
      </c>
      <c r="AS93" s="7">
        <f t="shared" si="79"/>
        <v>69621.2</v>
      </c>
      <c r="AT93" s="7">
        <f t="shared" si="79"/>
        <v>0</v>
      </c>
      <c r="AU93" s="7">
        <f t="shared" si="79"/>
        <v>0</v>
      </c>
      <c r="AV93" s="7">
        <f t="shared" si="79"/>
        <v>29621.1</v>
      </c>
      <c r="AW93" s="7">
        <f t="shared" si="79"/>
        <v>29621.1</v>
      </c>
      <c r="AX93" s="7">
        <f t="shared" si="79"/>
        <v>0</v>
      </c>
      <c r="AY93" s="7">
        <f t="shared" si="79"/>
        <v>29621.1</v>
      </c>
      <c r="AZ93" s="7">
        <f t="shared" si="79"/>
        <v>0</v>
      </c>
      <c r="BA93" s="7">
        <f t="shared" si="79"/>
        <v>0</v>
      </c>
      <c r="BB93" s="7">
        <f t="shared" si="79"/>
        <v>0</v>
      </c>
      <c r="BC93" s="7">
        <f t="shared" si="79"/>
        <v>0</v>
      </c>
      <c r="BD93" s="7">
        <f t="shared" si="79"/>
        <v>0</v>
      </c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>
        <f>ROUND(SUMIF(AA76:AA91,"=78397139",FQ76:FQ91),2)</f>
        <v>0</v>
      </c>
      <c r="BY93" s="7">
        <f>ROUND(SUMIF(AA76:AA91,"=78397139",FR76:FR91),2)</f>
        <v>0</v>
      </c>
      <c r="BZ93" s="7">
        <f>ROUND(SUMIF(AA76:AA91,"=78397139",GL76:GL91),2)</f>
        <v>0</v>
      </c>
      <c r="CA93" s="7">
        <f>ROUND(SUMIF(AA76:AA91,"=78397139",GM76:GM91),2)</f>
        <v>69621.2</v>
      </c>
      <c r="CB93" s="7">
        <f>ROUND(SUMIF(AA76:AA91,"=78397139",GN76:GN91),2)</f>
        <v>69621.2</v>
      </c>
      <c r="CC93" s="7">
        <f>ROUND(SUMIF(AA76:AA91,"=78397139",GO76:GO91),2)</f>
        <v>0</v>
      </c>
      <c r="CD93" s="7">
        <f>ROUND(SUMIF(AA76:AA91,"=78397139",GP76:GP91),2)</f>
        <v>0</v>
      </c>
      <c r="CE93" s="7">
        <f>AC93-BX93</f>
        <v>29621.1</v>
      </c>
      <c r="CF93" s="7">
        <f>AC93-BY93</f>
        <v>29621.1</v>
      </c>
      <c r="CG93" s="7">
        <f>BX93-BZ93</f>
        <v>0</v>
      </c>
      <c r="CH93" s="7">
        <f>AC93-BX93-BY93+BZ93</f>
        <v>29621.1</v>
      </c>
      <c r="CI93" s="7">
        <f>BY93-BZ93</f>
        <v>0</v>
      </c>
      <c r="CJ93" s="7">
        <f>ROUND(SUMIF(AA76:AA91,"=78397139",GX76:GX91),2)</f>
        <v>0</v>
      </c>
      <c r="CK93" s="7">
        <f>ROUND(SUMIF(AA76:AA91,"=78397139",GY76:GY91),2)</f>
        <v>0</v>
      </c>
      <c r="CL93" s="7">
        <f>ROUND(SUMIF(AA76:AA91,"=78397139",GZ76:GZ91),2)</f>
        <v>0</v>
      </c>
      <c r="CM93" s="7">
        <f>ROUND(SUMIF(AA76:AA91,"=78397139",HD76:HD91),2)</f>
        <v>0</v>
      </c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>
        <v>0</v>
      </c>
    </row>
    <row r="95" spans="1:245" x14ac:dyDescent="0.25">
      <c r="A95" s="4">
        <v>50</v>
      </c>
      <c r="B95" s="4">
        <v>0</v>
      </c>
      <c r="C95" s="4">
        <v>0</v>
      </c>
      <c r="D95" s="4">
        <v>1</v>
      </c>
      <c r="E95" s="4">
        <v>201</v>
      </c>
      <c r="F95" s="4">
        <f>ROUND(Source!O93,O95)</f>
        <v>45535.65</v>
      </c>
      <c r="G95" s="4" t="s">
        <v>422</v>
      </c>
      <c r="H95" s="4" t="s">
        <v>423</v>
      </c>
      <c r="I95" s="4"/>
      <c r="J95" s="4"/>
      <c r="K95" s="4">
        <v>201</v>
      </c>
      <c r="L95" s="4">
        <v>1</v>
      </c>
      <c r="M95" s="4">
        <v>3</v>
      </c>
      <c r="N95" s="4" t="s">
        <v>332</v>
      </c>
      <c r="O95" s="4">
        <v>2</v>
      </c>
      <c r="P95" s="4"/>
      <c r="Q95" s="4"/>
      <c r="R95" s="4"/>
      <c r="S95" s="4"/>
      <c r="T95" s="4"/>
      <c r="U95" s="4"/>
      <c r="V95" s="4"/>
      <c r="W95" s="4">
        <v>45535.65</v>
      </c>
      <c r="X95" s="4">
        <v>1</v>
      </c>
      <c r="Y95" s="4">
        <v>45535.65</v>
      </c>
      <c r="Z95" s="4"/>
      <c r="AA95" s="4"/>
      <c r="AB95" s="4"/>
    </row>
    <row r="96" spans="1:245" x14ac:dyDescent="0.25">
      <c r="A96" s="4">
        <v>50</v>
      </c>
      <c r="B96" s="4">
        <v>0</v>
      </c>
      <c r="C96" s="4">
        <v>0</v>
      </c>
      <c r="D96" s="4">
        <v>1</v>
      </c>
      <c r="E96" s="4">
        <v>202</v>
      </c>
      <c r="F96" s="4">
        <f>ROUND(Source!P93,O96)</f>
        <v>29621.1</v>
      </c>
      <c r="G96" s="4" t="s">
        <v>424</v>
      </c>
      <c r="H96" s="4" t="s">
        <v>425</v>
      </c>
      <c r="I96" s="4"/>
      <c r="J96" s="4"/>
      <c r="K96" s="4">
        <v>202</v>
      </c>
      <c r="L96" s="4">
        <v>2</v>
      </c>
      <c r="M96" s="4">
        <v>3</v>
      </c>
      <c r="N96" s="4" t="s">
        <v>332</v>
      </c>
      <c r="O96" s="4">
        <v>2</v>
      </c>
      <c r="P96" s="4"/>
      <c r="Q96" s="4"/>
      <c r="R96" s="4"/>
      <c r="S96" s="4"/>
      <c r="T96" s="4"/>
      <c r="U96" s="4"/>
      <c r="V96" s="4"/>
      <c r="W96" s="4">
        <v>29621.1</v>
      </c>
      <c r="X96" s="4">
        <v>1</v>
      </c>
      <c r="Y96" s="4">
        <v>29621.1</v>
      </c>
      <c r="Z96" s="4"/>
      <c r="AA96" s="4"/>
      <c r="AB96" s="4"/>
    </row>
    <row r="97" spans="1:28" x14ac:dyDescent="0.25">
      <c r="A97" s="4">
        <v>50</v>
      </c>
      <c r="B97" s="4">
        <v>0</v>
      </c>
      <c r="C97" s="4">
        <v>0</v>
      </c>
      <c r="D97" s="4">
        <v>1</v>
      </c>
      <c r="E97" s="4">
        <v>222</v>
      </c>
      <c r="F97" s="4">
        <f>ROUND(Source!AO93,O97)</f>
        <v>0</v>
      </c>
      <c r="G97" s="4" t="s">
        <v>426</v>
      </c>
      <c r="H97" s="4" t="s">
        <v>427</v>
      </c>
      <c r="I97" s="4"/>
      <c r="J97" s="4"/>
      <c r="K97" s="4">
        <v>222</v>
      </c>
      <c r="L97" s="4">
        <v>3</v>
      </c>
      <c r="M97" s="4">
        <v>3</v>
      </c>
      <c r="N97" s="4" t="s">
        <v>332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8" x14ac:dyDescent="0.25">
      <c r="A98" s="4">
        <v>50</v>
      </c>
      <c r="B98" s="4">
        <v>0</v>
      </c>
      <c r="C98" s="4">
        <v>0</v>
      </c>
      <c r="D98" s="4">
        <v>1</v>
      </c>
      <c r="E98" s="4">
        <v>225</v>
      </c>
      <c r="F98" s="4">
        <f>ROUND(Source!AV93,O98)</f>
        <v>29621.1</v>
      </c>
      <c r="G98" s="4" t="s">
        <v>428</v>
      </c>
      <c r="H98" s="4" t="s">
        <v>429</v>
      </c>
      <c r="I98" s="4"/>
      <c r="J98" s="4"/>
      <c r="K98" s="4">
        <v>225</v>
      </c>
      <c r="L98" s="4">
        <v>4</v>
      </c>
      <c r="M98" s="4">
        <v>3</v>
      </c>
      <c r="N98" s="4" t="s">
        <v>332</v>
      </c>
      <c r="O98" s="4">
        <v>2</v>
      </c>
      <c r="P98" s="4"/>
      <c r="Q98" s="4"/>
      <c r="R98" s="4"/>
      <c r="S98" s="4"/>
      <c r="T98" s="4"/>
      <c r="U98" s="4"/>
      <c r="V98" s="4"/>
      <c r="W98" s="4">
        <v>29621.1</v>
      </c>
      <c r="X98" s="4">
        <v>1</v>
      </c>
      <c r="Y98" s="4">
        <v>29621.1</v>
      </c>
      <c r="Z98" s="4"/>
      <c r="AA98" s="4"/>
      <c r="AB98" s="4"/>
    </row>
    <row r="99" spans="1:28" x14ac:dyDescent="0.25">
      <c r="A99" s="4">
        <v>50</v>
      </c>
      <c r="B99" s="4">
        <v>0</v>
      </c>
      <c r="C99" s="4">
        <v>0</v>
      </c>
      <c r="D99" s="4">
        <v>1</v>
      </c>
      <c r="E99" s="4">
        <v>226</v>
      </c>
      <c r="F99" s="4">
        <f>ROUND(Source!AW93,O99)</f>
        <v>29621.1</v>
      </c>
      <c r="G99" s="4" t="s">
        <v>430</v>
      </c>
      <c r="H99" s="4" t="s">
        <v>431</v>
      </c>
      <c r="I99" s="4"/>
      <c r="J99" s="4"/>
      <c r="K99" s="4">
        <v>226</v>
      </c>
      <c r="L99" s="4">
        <v>5</v>
      </c>
      <c r="M99" s="4">
        <v>3</v>
      </c>
      <c r="N99" s="4" t="s">
        <v>332</v>
      </c>
      <c r="O99" s="4">
        <v>2</v>
      </c>
      <c r="P99" s="4"/>
      <c r="Q99" s="4"/>
      <c r="R99" s="4"/>
      <c r="S99" s="4"/>
      <c r="T99" s="4"/>
      <c r="U99" s="4"/>
      <c r="V99" s="4"/>
      <c r="W99" s="4">
        <v>29621.1</v>
      </c>
      <c r="X99" s="4">
        <v>1</v>
      </c>
      <c r="Y99" s="4">
        <v>29621.1</v>
      </c>
      <c r="Z99" s="4"/>
      <c r="AA99" s="4"/>
      <c r="AB99" s="4"/>
    </row>
    <row r="100" spans="1:28" x14ac:dyDescent="0.25">
      <c r="A100" s="4">
        <v>50</v>
      </c>
      <c r="B100" s="4">
        <v>0</v>
      </c>
      <c r="C100" s="4">
        <v>0</v>
      </c>
      <c r="D100" s="4">
        <v>1</v>
      </c>
      <c r="E100" s="4">
        <v>227</v>
      </c>
      <c r="F100" s="4">
        <f>ROUND(Source!AX93,O100)</f>
        <v>0</v>
      </c>
      <c r="G100" s="4" t="s">
        <v>432</v>
      </c>
      <c r="H100" s="4" t="s">
        <v>433</v>
      </c>
      <c r="I100" s="4"/>
      <c r="J100" s="4"/>
      <c r="K100" s="4">
        <v>227</v>
      </c>
      <c r="L100" s="4">
        <v>6</v>
      </c>
      <c r="M100" s="4">
        <v>3</v>
      </c>
      <c r="N100" s="4" t="s">
        <v>332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8" x14ac:dyDescent="0.25">
      <c r="A101" s="4">
        <v>50</v>
      </c>
      <c r="B101" s="4">
        <v>0</v>
      </c>
      <c r="C101" s="4">
        <v>0</v>
      </c>
      <c r="D101" s="4">
        <v>1</v>
      </c>
      <c r="E101" s="4">
        <v>228</v>
      </c>
      <c r="F101" s="4">
        <f>ROUND(Source!AY93,O101)</f>
        <v>29621.1</v>
      </c>
      <c r="G101" s="4" t="s">
        <v>434</v>
      </c>
      <c r="H101" s="4" t="s">
        <v>435</v>
      </c>
      <c r="I101" s="4"/>
      <c r="J101" s="4"/>
      <c r="K101" s="4">
        <v>228</v>
      </c>
      <c r="L101" s="4">
        <v>7</v>
      </c>
      <c r="M101" s="4">
        <v>3</v>
      </c>
      <c r="N101" s="4" t="s">
        <v>332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29621.1</v>
      </c>
      <c r="X101" s="4">
        <v>1</v>
      </c>
      <c r="Y101" s="4">
        <v>29621.1</v>
      </c>
      <c r="Z101" s="4"/>
      <c r="AA101" s="4"/>
      <c r="AB101" s="4"/>
    </row>
    <row r="102" spans="1:28" x14ac:dyDescent="0.25">
      <c r="A102" s="4">
        <v>50</v>
      </c>
      <c r="B102" s="4">
        <v>0</v>
      </c>
      <c r="C102" s="4">
        <v>0</v>
      </c>
      <c r="D102" s="4">
        <v>1</v>
      </c>
      <c r="E102" s="4">
        <v>216</v>
      </c>
      <c r="F102" s="4">
        <f>ROUND(Source!AP93,O102)</f>
        <v>0</v>
      </c>
      <c r="G102" s="4" t="s">
        <v>436</v>
      </c>
      <c r="H102" s="4" t="s">
        <v>437</v>
      </c>
      <c r="I102" s="4"/>
      <c r="J102" s="4"/>
      <c r="K102" s="4">
        <v>216</v>
      </c>
      <c r="L102" s="4">
        <v>8</v>
      </c>
      <c r="M102" s="4">
        <v>3</v>
      </c>
      <c r="N102" s="4" t="s">
        <v>332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 x14ac:dyDescent="0.25">
      <c r="A103" s="4">
        <v>50</v>
      </c>
      <c r="B103" s="4">
        <v>0</v>
      </c>
      <c r="C103" s="4">
        <v>0</v>
      </c>
      <c r="D103" s="4">
        <v>1</v>
      </c>
      <c r="E103" s="4">
        <v>223</v>
      </c>
      <c r="F103" s="4">
        <f>ROUND(Source!AQ93,O103)</f>
        <v>0</v>
      </c>
      <c r="G103" s="4" t="s">
        <v>438</v>
      </c>
      <c r="H103" s="4" t="s">
        <v>439</v>
      </c>
      <c r="I103" s="4"/>
      <c r="J103" s="4"/>
      <c r="K103" s="4">
        <v>223</v>
      </c>
      <c r="L103" s="4">
        <v>9</v>
      </c>
      <c r="M103" s="4">
        <v>3</v>
      </c>
      <c r="N103" s="4" t="s">
        <v>332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</row>
    <row r="104" spans="1:28" x14ac:dyDescent="0.25">
      <c r="A104" s="4">
        <v>50</v>
      </c>
      <c r="B104" s="4">
        <v>0</v>
      </c>
      <c r="C104" s="4">
        <v>0</v>
      </c>
      <c r="D104" s="4">
        <v>1</v>
      </c>
      <c r="E104" s="4">
        <v>229</v>
      </c>
      <c r="F104" s="4">
        <f>ROUND(Source!AZ93,O104)</f>
        <v>0</v>
      </c>
      <c r="G104" s="4" t="s">
        <v>440</v>
      </c>
      <c r="H104" s="4" t="s">
        <v>441</v>
      </c>
      <c r="I104" s="4"/>
      <c r="J104" s="4"/>
      <c r="K104" s="4">
        <v>229</v>
      </c>
      <c r="L104" s="4">
        <v>10</v>
      </c>
      <c r="M104" s="4">
        <v>3</v>
      </c>
      <c r="N104" s="4" t="s">
        <v>332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 x14ac:dyDescent="0.25">
      <c r="A105" s="4">
        <v>50</v>
      </c>
      <c r="B105" s="4">
        <v>0</v>
      </c>
      <c r="C105" s="4">
        <v>0</v>
      </c>
      <c r="D105" s="4">
        <v>1</v>
      </c>
      <c r="E105" s="4">
        <v>203</v>
      </c>
      <c r="F105" s="4">
        <f>ROUND(Source!Q93,O105)</f>
        <v>87</v>
      </c>
      <c r="G105" s="4" t="s">
        <v>442</v>
      </c>
      <c r="H105" s="4" t="s">
        <v>443</v>
      </c>
      <c r="I105" s="4"/>
      <c r="J105" s="4"/>
      <c r="K105" s="4">
        <v>203</v>
      </c>
      <c r="L105" s="4">
        <v>11</v>
      </c>
      <c r="M105" s="4">
        <v>3</v>
      </c>
      <c r="N105" s="4" t="s">
        <v>332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87</v>
      </c>
      <c r="X105" s="4">
        <v>1</v>
      </c>
      <c r="Y105" s="4">
        <v>87</v>
      </c>
      <c r="Z105" s="4"/>
      <c r="AA105" s="4"/>
      <c r="AB105" s="4"/>
    </row>
    <row r="106" spans="1:28" x14ac:dyDescent="0.25">
      <c r="A106" s="4">
        <v>50</v>
      </c>
      <c r="B106" s="4">
        <v>0</v>
      </c>
      <c r="C106" s="4">
        <v>0</v>
      </c>
      <c r="D106" s="4">
        <v>1</v>
      </c>
      <c r="E106" s="4">
        <v>231</v>
      </c>
      <c r="F106" s="4">
        <f>ROUND(Source!BB93,O106)</f>
        <v>0</v>
      </c>
      <c r="G106" s="4" t="s">
        <v>444</v>
      </c>
      <c r="H106" s="4" t="s">
        <v>445</v>
      </c>
      <c r="I106" s="4"/>
      <c r="J106" s="4"/>
      <c r="K106" s="4">
        <v>231</v>
      </c>
      <c r="L106" s="4">
        <v>12</v>
      </c>
      <c r="M106" s="4">
        <v>3</v>
      </c>
      <c r="N106" s="4" t="s">
        <v>332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0</v>
      </c>
      <c r="X106" s="4">
        <v>1</v>
      </c>
      <c r="Y106" s="4">
        <v>0</v>
      </c>
      <c r="Z106" s="4"/>
      <c r="AA106" s="4"/>
      <c r="AB106" s="4"/>
    </row>
    <row r="107" spans="1:28" x14ac:dyDescent="0.25">
      <c r="A107" s="4">
        <v>50</v>
      </c>
      <c r="B107" s="4">
        <v>0</v>
      </c>
      <c r="C107" s="4">
        <v>0</v>
      </c>
      <c r="D107" s="4">
        <v>1</v>
      </c>
      <c r="E107" s="4">
        <v>204</v>
      </c>
      <c r="F107" s="4">
        <f>ROUND(Source!R93,O107)</f>
        <v>81.91</v>
      </c>
      <c r="G107" s="4" t="s">
        <v>446</v>
      </c>
      <c r="H107" s="4" t="s">
        <v>447</v>
      </c>
      <c r="I107" s="4"/>
      <c r="J107" s="4"/>
      <c r="K107" s="4">
        <v>204</v>
      </c>
      <c r="L107" s="4">
        <v>13</v>
      </c>
      <c r="M107" s="4">
        <v>3</v>
      </c>
      <c r="N107" s="4" t="s">
        <v>332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81.91</v>
      </c>
      <c r="X107" s="4">
        <v>1</v>
      </c>
      <c r="Y107" s="4">
        <v>81.91</v>
      </c>
      <c r="Z107" s="4"/>
      <c r="AA107" s="4"/>
      <c r="AB107" s="4"/>
    </row>
    <row r="108" spans="1:28" x14ac:dyDescent="0.25">
      <c r="A108" s="4">
        <v>50</v>
      </c>
      <c r="B108" s="4">
        <v>0</v>
      </c>
      <c r="C108" s="4">
        <v>0</v>
      </c>
      <c r="D108" s="4">
        <v>1</v>
      </c>
      <c r="E108" s="4">
        <v>205</v>
      </c>
      <c r="F108" s="4">
        <f>ROUND(Source!S93,O108)</f>
        <v>15745.64</v>
      </c>
      <c r="G108" s="4" t="s">
        <v>448</v>
      </c>
      <c r="H108" s="4" t="s">
        <v>449</v>
      </c>
      <c r="I108" s="4"/>
      <c r="J108" s="4"/>
      <c r="K108" s="4">
        <v>205</v>
      </c>
      <c r="L108" s="4">
        <v>14</v>
      </c>
      <c r="M108" s="4">
        <v>3</v>
      </c>
      <c r="N108" s="4" t="s">
        <v>332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15745.64</v>
      </c>
      <c r="X108" s="4">
        <v>1</v>
      </c>
      <c r="Y108" s="4">
        <v>15745.64</v>
      </c>
      <c r="Z108" s="4"/>
      <c r="AA108" s="4"/>
      <c r="AB108" s="4"/>
    </row>
    <row r="109" spans="1:28" x14ac:dyDescent="0.25">
      <c r="A109" s="4">
        <v>50</v>
      </c>
      <c r="B109" s="4">
        <v>0</v>
      </c>
      <c r="C109" s="4">
        <v>0</v>
      </c>
      <c r="D109" s="4">
        <v>1</v>
      </c>
      <c r="E109" s="4">
        <v>232</v>
      </c>
      <c r="F109" s="4">
        <f>ROUND(Source!BC93,O109)</f>
        <v>0</v>
      </c>
      <c r="G109" s="4" t="s">
        <v>450</v>
      </c>
      <c r="H109" s="4" t="s">
        <v>451</v>
      </c>
      <c r="I109" s="4"/>
      <c r="J109" s="4"/>
      <c r="K109" s="4">
        <v>232</v>
      </c>
      <c r="L109" s="4">
        <v>15</v>
      </c>
      <c r="M109" s="4">
        <v>3</v>
      </c>
      <c r="N109" s="4" t="s">
        <v>332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8" x14ac:dyDescent="0.25">
      <c r="A110" s="4">
        <v>50</v>
      </c>
      <c r="B110" s="4">
        <v>0</v>
      </c>
      <c r="C110" s="4">
        <v>0</v>
      </c>
      <c r="D110" s="4">
        <v>1</v>
      </c>
      <c r="E110" s="4">
        <v>214</v>
      </c>
      <c r="F110" s="4">
        <f>ROUND(Source!AS93,O110)</f>
        <v>69621.2</v>
      </c>
      <c r="G110" s="4" t="s">
        <v>452</v>
      </c>
      <c r="H110" s="4" t="s">
        <v>453</v>
      </c>
      <c r="I110" s="4"/>
      <c r="J110" s="4"/>
      <c r="K110" s="4">
        <v>214</v>
      </c>
      <c r="L110" s="4">
        <v>16</v>
      </c>
      <c r="M110" s="4">
        <v>3</v>
      </c>
      <c r="N110" s="4" t="s">
        <v>332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69621.2</v>
      </c>
      <c r="X110" s="4">
        <v>1</v>
      </c>
      <c r="Y110" s="4">
        <v>69621.2</v>
      </c>
      <c r="Z110" s="4"/>
      <c r="AA110" s="4"/>
      <c r="AB110" s="4"/>
    </row>
    <row r="111" spans="1:28" x14ac:dyDescent="0.25">
      <c r="A111" s="4">
        <v>50</v>
      </c>
      <c r="B111" s="4">
        <v>0</v>
      </c>
      <c r="C111" s="4">
        <v>0</v>
      </c>
      <c r="D111" s="4">
        <v>1</v>
      </c>
      <c r="E111" s="4">
        <v>215</v>
      </c>
      <c r="F111" s="4">
        <f>ROUND(Source!AT93,O111)</f>
        <v>0</v>
      </c>
      <c r="G111" s="4" t="s">
        <v>454</v>
      </c>
      <c r="H111" s="4" t="s">
        <v>455</v>
      </c>
      <c r="I111" s="4"/>
      <c r="J111" s="4"/>
      <c r="K111" s="4">
        <v>215</v>
      </c>
      <c r="L111" s="4">
        <v>17</v>
      </c>
      <c r="M111" s="4">
        <v>3</v>
      </c>
      <c r="N111" s="4" t="s">
        <v>332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0</v>
      </c>
      <c r="X111" s="4">
        <v>1</v>
      </c>
      <c r="Y111" s="4">
        <v>0</v>
      </c>
      <c r="Z111" s="4"/>
      <c r="AA111" s="4"/>
      <c r="AB111" s="4"/>
    </row>
    <row r="112" spans="1:28" x14ac:dyDescent="0.25">
      <c r="A112" s="4">
        <v>50</v>
      </c>
      <c r="B112" s="4">
        <v>0</v>
      </c>
      <c r="C112" s="4">
        <v>0</v>
      </c>
      <c r="D112" s="4">
        <v>1</v>
      </c>
      <c r="E112" s="4">
        <v>217</v>
      </c>
      <c r="F112" s="4">
        <f>ROUND(Source!AU93,O112)</f>
        <v>0</v>
      </c>
      <c r="G112" s="4" t="s">
        <v>456</v>
      </c>
      <c r="H112" s="4" t="s">
        <v>457</v>
      </c>
      <c r="I112" s="4"/>
      <c r="J112" s="4"/>
      <c r="K112" s="4">
        <v>217</v>
      </c>
      <c r="L112" s="4">
        <v>18</v>
      </c>
      <c r="M112" s="4">
        <v>3</v>
      </c>
      <c r="N112" s="4" t="s">
        <v>332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45" x14ac:dyDescent="0.25">
      <c r="A113" s="4">
        <v>50</v>
      </c>
      <c r="B113" s="4">
        <v>0</v>
      </c>
      <c r="C113" s="4">
        <v>0</v>
      </c>
      <c r="D113" s="4">
        <v>1</v>
      </c>
      <c r="E113" s="4">
        <v>230</v>
      </c>
      <c r="F113" s="4">
        <f>ROUND(Source!BA93,O113)</f>
        <v>0</v>
      </c>
      <c r="G113" s="4" t="s">
        <v>458</v>
      </c>
      <c r="H113" s="4" t="s">
        <v>459</v>
      </c>
      <c r="I113" s="4"/>
      <c r="J113" s="4"/>
      <c r="K113" s="4">
        <v>230</v>
      </c>
      <c r="L113" s="4">
        <v>19</v>
      </c>
      <c r="M113" s="4">
        <v>3</v>
      </c>
      <c r="N113" s="4" t="s">
        <v>332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0</v>
      </c>
      <c r="X113" s="4">
        <v>1</v>
      </c>
      <c r="Y113" s="4">
        <v>0</v>
      </c>
      <c r="Z113" s="4"/>
      <c r="AA113" s="4"/>
      <c r="AB113" s="4"/>
    </row>
    <row r="114" spans="1:245" x14ac:dyDescent="0.25">
      <c r="A114" s="4">
        <v>50</v>
      </c>
      <c r="B114" s="4">
        <v>0</v>
      </c>
      <c r="C114" s="4">
        <v>0</v>
      </c>
      <c r="D114" s="4">
        <v>1</v>
      </c>
      <c r="E114" s="4">
        <v>206</v>
      </c>
      <c r="F114" s="4">
        <f>ROUND(Source!T93,O114)</f>
        <v>0</v>
      </c>
      <c r="G114" s="4" t="s">
        <v>460</v>
      </c>
      <c r="H114" s="4" t="s">
        <v>461</v>
      </c>
      <c r="I114" s="4"/>
      <c r="J114" s="4"/>
      <c r="K114" s="4">
        <v>206</v>
      </c>
      <c r="L114" s="4">
        <v>20</v>
      </c>
      <c r="M114" s="4">
        <v>3</v>
      </c>
      <c r="N114" s="4" t="s">
        <v>332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45" x14ac:dyDescent="0.25">
      <c r="A115" s="4">
        <v>50</v>
      </c>
      <c r="B115" s="4">
        <v>0</v>
      </c>
      <c r="C115" s="4">
        <v>0</v>
      </c>
      <c r="D115" s="4">
        <v>1</v>
      </c>
      <c r="E115" s="4">
        <v>207</v>
      </c>
      <c r="F115" s="4">
        <f>ROUND(Source!U93,O115)</f>
        <v>22.923539999999999</v>
      </c>
      <c r="G115" s="4" t="s">
        <v>462</v>
      </c>
      <c r="H115" s="4" t="s">
        <v>463</v>
      </c>
      <c r="I115" s="4"/>
      <c r="J115" s="4"/>
      <c r="K115" s="4">
        <v>207</v>
      </c>
      <c r="L115" s="4">
        <v>21</v>
      </c>
      <c r="M115" s="4">
        <v>3</v>
      </c>
      <c r="N115" s="4" t="s">
        <v>332</v>
      </c>
      <c r="O115" s="4">
        <v>7</v>
      </c>
      <c r="P115" s="4"/>
      <c r="Q115" s="4"/>
      <c r="R115" s="4"/>
      <c r="S115" s="4"/>
      <c r="T115" s="4"/>
      <c r="U115" s="4"/>
      <c r="V115" s="4"/>
      <c r="W115" s="4">
        <v>22.923539999999999</v>
      </c>
      <c r="X115" s="4">
        <v>1</v>
      </c>
      <c r="Y115" s="4">
        <v>22.923539999999999</v>
      </c>
      <c r="Z115" s="4"/>
      <c r="AA115" s="4"/>
      <c r="AB115" s="4"/>
    </row>
    <row r="116" spans="1:245" x14ac:dyDescent="0.25">
      <c r="A116" s="4">
        <v>50</v>
      </c>
      <c r="B116" s="4">
        <v>0</v>
      </c>
      <c r="C116" s="4">
        <v>0</v>
      </c>
      <c r="D116" s="4">
        <v>1</v>
      </c>
      <c r="E116" s="4">
        <v>208</v>
      </c>
      <c r="F116" s="4">
        <f>ROUND(Source!V93,O116)</f>
        <v>0.1134</v>
      </c>
      <c r="G116" s="4" t="s">
        <v>464</v>
      </c>
      <c r="H116" s="4" t="s">
        <v>465</v>
      </c>
      <c r="I116" s="4"/>
      <c r="J116" s="4"/>
      <c r="K116" s="4">
        <v>208</v>
      </c>
      <c r="L116" s="4">
        <v>22</v>
      </c>
      <c r="M116" s="4">
        <v>3</v>
      </c>
      <c r="N116" s="4" t="s">
        <v>332</v>
      </c>
      <c r="O116" s="4">
        <v>7</v>
      </c>
      <c r="P116" s="4"/>
      <c r="Q116" s="4"/>
      <c r="R116" s="4"/>
      <c r="S116" s="4"/>
      <c r="T116" s="4"/>
      <c r="U116" s="4"/>
      <c r="V116" s="4"/>
      <c r="W116" s="4">
        <v>0.1134</v>
      </c>
      <c r="X116" s="4">
        <v>1</v>
      </c>
      <c r="Y116" s="4">
        <v>0.1134</v>
      </c>
      <c r="Z116" s="4"/>
      <c r="AA116" s="4"/>
      <c r="AB116" s="4"/>
    </row>
    <row r="117" spans="1:245" x14ac:dyDescent="0.25">
      <c r="A117" s="4">
        <v>50</v>
      </c>
      <c r="B117" s="4">
        <v>0</v>
      </c>
      <c r="C117" s="4">
        <v>0</v>
      </c>
      <c r="D117" s="4">
        <v>1</v>
      </c>
      <c r="E117" s="4">
        <v>209</v>
      </c>
      <c r="F117" s="4">
        <f>ROUND(Source!W93,O117)</f>
        <v>0</v>
      </c>
      <c r="G117" s="4" t="s">
        <v>466</v>
      </c>
      <c r="H117" s="4" t="s">
        <v>467</v>
      </c>
      <c r="I117" s="4"/>
      <c r="J117" s="4"/>
      <c r="K117" s="4">
        <v>209</v>
      </c>
      <c r="L117" s="4">
        <v>23</v>
      </c>
      <c r="M117" s="4">
        <v>3</v>
      </c>
      <c r="N117" s="4" t="s">
        <v>332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0</v>
      </c>
      <c r="X117" s="4">
        <v>1</v>
      </c>
      <c r="Y117" s="4">
        <v>0</v>
      </c>
      <c r="Z117" s="4"/>
      <c r="AA117" s="4"/>
      <c r="AB117" s="4"/>
    </row>
    <row r="118" spans="1:245" x14ac:dyDescent="0.25">
      <c r="A118" s="4">
        <v>50</v>
      </c>
      <c r="B118" s="4">
        <v>0</v>
      </c>
      <c r="C118" s="4">
        <v>0</v>
      </c>
      <c r="D118" s="4">
        <v>1</v>
      </c>
      <c r="E118" s="4">
        <v>233</v>
      </c>
      <c r="F118" s="4">
        <f>ROUND(Source!BD93,O118)</f>
        <v>0</v>
      </c>
      <c r="G118" s="4" t="s">
        <v>468</v>
      </c>
      <c r="H118" s="4" t="s">
        <v>469</v>
      </c>
      <c r="I118" s="4"/>
      <c r="J118" s="4"/>
      <c r="K118" s="4">
        <v>233</v>
      </c>
      <c r="L118" s="4">
        <v>24</v>
      </c>
      <c r="M118" s="4">
        <v>3</v>
      </c>
      <c r="N118" s="4" t="s">
        <v>332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0</v>
      </c>
      <c r="X118" s="4">
        <v>1</v>
      </c>
      <c r="Y118" s="4">
        <v>0</v>
      </c>
      <c r="Z118" s="4"/>
      <c r="AA118" s="4"/>
      <c r="AB118" s="4"/>
    </row>
    <row r="119" spans="1:245" x14ac:dyDescent="0.25">
      <c r="A119" s="4">
        <v>50</v>
      </c>
      <c r="B119" s="4">
        <v>0</v>
      </c>
      <c r="C119" s="4">
        <v>0</v>
      </c>
      <c r="D119" s="4">
        <v>1</v>
      </c>
      <c r="E119" s="4">
        <v>210</v>
      </c>
      <c r="F119" s="4">
        <f>ROUND(Source!X93,O119)</f>
        <v>16056.43</v>
      </c>
      <c r="G119" s="4" t="s">
        <v>470</v>
      </c>
      <c r="H119" s="4" t="s">
        <v>471</v>
      </c>
      <c r="I119" s="4"/>
      <c r="J119" s="4"/>
      <c r="K119" s="4">
        <v>210</v>
      </c>
      <c r="L119" s="4">
        <v>25</v>
      </c>
      <c r="M119" s="4">
        <v>3</v>
      </c>
      <c r="N119" s="4" t="s">
        <v>332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16056.43</v>
      </c>
      <c r="X119" s="4">
        <v>1</v>
      </c>
      <c r="Y119" s="4">
        <v>16056.43</v>
      </c>
      <c r="Z119" s="4"/>
      <c r="AA119" s="4"/>
      <c r="AB119" s="4"/>
    </row>
    <row r="120" spans="1:245" x14ac:dyDescent="0.25">
      <c r="A120" s="4">
        <v>50</v>
      </c>
      <c r="B120" s="4">
        <v>0</v>
      </c>
      <c r="C120" s="4">
        <v>0</v>
      </c>
      <c r="D120" s="4">
        <v>1</v>
      </c>
      <c r="E120" s="4">
        <v>211</v>
      </c>
      <c r="F120" s="4">
        <f>ROUND(Source!Y93,O120)</f>
        <v>8029.12</v>
      </c>
      <c r="G120" s="4" t="s">
        <v>472</v>
      </c>
      <c r="H120" s="4" t="s">
        <v>473</v>
      </c>
      <c r="I120" s="4"/>
      <c r="J120" s="4"/>
      <c r="K120" s="4">
        <v>211</v>
      </c>
      <c r="L120" s="4">
        <v>26</v>
      </c>
      <c r="M120" s="4">
        <v>3</v>
      </c>
      <c r="N120" s="4" t="s">
        <v>332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8029.12</v>
      </c>
      <c r="X120" s="4">
        <v>1</v>
      </c>
      <c r="Y120" s="4">
        <v>8029.12</v>
      </c>
      <c r="Z120" s="4"/>
      <c r="AA120" s="4"/>
      <c r="AB120" s="4"/>
    </row>
    <row r="121" spans="1:245" x14ac:dyDescent="0.25">
      <c r="A121" s="4">
        <v>50</v>
      </c>
      <c r="B121" s="4">
        <v>0</v>
      </c>
      <c r="C121" s="4">
        <v>0</v>
      </c>
      <c r="D121" s="4">
        <v>1</v>
      </c>
      <c r="E121" s="4">
        <v>224</v>
      </c>
      <c r="F121" s="4">
        <f>ROUND(Source!AR93,O121)</f>
        <v>69621.2</v>
      </c>
      <c r="G121" s="4" t="s">
        <v>474</v>
      </c>
      <c r="H121" s="4" t="s">
        <v>475</v>
      </c>
      <c r="I121" s="4"/>
      <c r="J121" s="4"/>
      <c r="K121" s="4">
        <v>224</v>
      </c>
      <c r="L121" s="4">
        <v>27</v>
      </c>
      <c r="M121" s="4">
        <v>3</v>
      </c>
      <c r="N121" s="4" t="s">
        <v>332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69621.2</v>
      </c>
      <c r="X121" s="4">
        <v>1</v>
      </c>
      <c r="Y121" s="4">
        <v>69621.2</v>
      </c>
      <c r="Z121" s="4"/>
      <c r="AA121" s="4"/>
      <c r="AB121" s="4"/>
    </row>
    <row r="123" spans="1:245" x14ac:dyDescent="0.25">
      <c r="A123" s="1">
        <v>4</v>
      </c>
      <c r="B123" s="1">
        <v>1</v>
      </c>
      <c r="C123" s="1"/>
      <c r="D123" s="1">
        <f>ROW(A139)</f>
        <v>139</v>
      </c>
      <c r="E123" s="1"/>
      <c r="F123" s="1" t="s">
        <v>343</v>
      </c>
      <c r="G123" s="1" t="s">
        <v>527</v>
      </c>
      <c r="H123" s="1" t="s">
        <v>332</v>
      </c>
      <c r="I123" s="1">
        <v>0</v>
      </c>
      <c r="J123" s="1"/>
      <c r="K123" s="1">
        <v>0</v>
      </c>
      <c r="L123" s="1"/>
      <c r="M123" s="1" t="s">
        <v>332</v>
      </c>
      <c r="N123" s="1"/>
      <c r="O123" s="1"/>
      <c r="P123" s="1"/>
      <c r="Q123" s="1"/>
      <c r="R123" s="1"/>
      <c r="S123" s="1">
        <v>0</v>
      </c>
      <c r="T123" s="1"/>
      <c r="U123" s="1" t="s">
        <v>332</v>
      </c>
      <c r="V123" s="1">
        <v>0</v>
      </c>
      <c r="W123" s="1"/>
      <c r="X123" s="1"/>
      <c r="Y123" s="1"/>
      <c r="Z123" s="1"/>
      <c r="AA123" s="1"/>
      <c r="AB123" s="1" t="s">
        <v>332</v>
      </c>
      <c r="AC123" s="1" t="s">
        <v>332</v>
      </c>
      <c r="AD123" s="1" t="s">
        <v>332</v>
      </c>
      <c r="AE123" s="1" t="s">
        <v>332</v>
      </c>
      <c r="AF123" s="1" t="s">
        <v>332</v>
      </c>
      <c r="AG123" s="1" t="s">
        <v>332</v>
      </c>
      <c r="AH123" s="1"/>
      <c r="AI123" s="1"/>
      <c r="AJ123" s="1"/>
      <c r="AK123" s="1"/>
      <c r="AL123" s="1"/>
      <c r="AM123" s="1"/>
      <c r="AN123" s="1"/>
      <c r="AO123" s="1"/>
      <c r="AP123" s="1" t="s">
        <v>332</v>
      </c>
      <c r="AQ123" s="1" t="s">
        <v>332</v>
      </c>
      <c r="AR123" s="1" t="s">
        <v>332</v>
      </c>
      <c r="AS123" s="1"/>
      <c r="AT123" s="1"/>
      <c r="AU123" s="1"/>
      <c r="AV123" s="1"/>
      <c r="AW123" s="1"/>
      <c r="AX123" s="1"/>
      <c r="AY123" s="1"/>
      <c r="AZ123" s="1" t="s">
        <v>332</v>
      </c>
      <c r="BA123" s="1"/>
      <c r="BB123" s="1" t="s">
        <v>332</v>
      </c>
      <c r="BC123" s="1" t="s">
        <v>332</v>
      </c>
      <c r="BD123" s="1" t="s">
        <v>332</v>
      </c>
      <c r="BE123" s="1" t="s">
        <v>332</v>
      </c>
      <c r="BF123" s="1" t="s">
        <v>332</v>
      </c>
      <c r="BG123" s="1" t="s">
        <v>332</v>
      </c>
      <c r="BH123" s="1" t="s">
        <v>332</v>
      </c>
      <c r="BI123" s="1" t="s">
        <v>332</v>
      </c>
      <c r="BJ123" s="1" t="s">
        <v>332</v>
      </c>
      <c r="BK123" s="1" t="s">
        <v>332</v>
      </c>
      <c r="BL123" s="1" t="s">
        <v>332</v>
      </c>
      <c r="BM123" s="1" t="s">
        <v>332</v>
      </c>
      <c r="BN123" s="1" t="s">
        <v>332</v>
      </c>
      <c r="BO123" s="1" t="s">
        <v>332</v>
      </c>
      <c r="BP123" s="1" t="s">
        <v>332</v>
      </c>
      <c r="BQ123" s="1"/>
      <c r="BR123" s="1"/>
      <c r="BS123" s="1"/>
      <c r="BT123" s="1"/>
      <c r="BU123" s="1"/>
      <c r="BV123" s="1"/>
      <c r="BW123" s="1"/>
      <c r="BX123" s="1">
        <v>0</v>
      </c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>
        <v>0</v>
      </c>
    </row>
    <row r="125" spans="1:245" x14ac:dyDescent="0.25">
      <c r="A125" s="7">
        <v>52</v>
      </c>
      <c r="B125" s="7">
        <f t="shared" ref="B125:G125" si="80">B139</f>
        <v>1</v>
      </c>
      <c r="C125" s="7">
        <f t="shared" si="80"/>
        <v>4</v>
      </c>
      <c r="D125" s="7">
        <f t="shared" si="80"/>
        <v>123</v>
      </c>
      <c r="E125" s="7">
        <f t="shared" si="80"/>
        <v>0</v>
      </c>
      <c r="F125" s="7" t="str">
        <f t="shared" si="80"/>
        <v>Новый раздел</v>
      </c>
      <c r="G125" s="7" t="str">
        <f t="shared" si="80"/>
        <v>Работа 3</v>
      </c>
      <c r="H125" s="7"/>
      <c r="I125" s="7"/>
      <c r="J125" s="7"/>
      <c r="K125" s="7"/>
      <c r="L125" s="7"/>
      <c r="M125" s="7"/>
      <c r="N125" s="7"/>
      <c r="O125" s="7">
        <f t="shared" ref="O125:AT125" si="81">O139</f>
        <v>6450.53</v>
      </c>
      <c r="P125" s="7">
        <f t="shared" si="81"/>
        <v>2594.37</v>
      </c>
      <c r="Q125" s="7">
        <f t="shared" si="81"/>
        <v>30.09</v>
      </c>
      <c r="R125" s="7">
        <f t="shared" si="81"/>
        <v>17.149999999999999</v>
      </c>
      <c r="S125" s="7">
        <f t="shared" si="81"/>
        <v>3808.92</v>
      </c>
      <c r="T125" s="7">
        <f t="shared" si="81"/>
        <v>0</v>
      </c>
      <c r="U125" s="7">
        <f t="shared" si="81"/>
        <v>5.3934343</v>
      </c>
      <c r="V125" s="7">
        <f t="shared" si="81"/>
        <v>2.4568099999999999E-2</v>
      </c>
      <c r="W125" s="7">
        <f t="shared" si="81"/>
        <v>0</v>
      </c>
      <c r="X125" s="7">
        <f t="shared" si="81"/>
        <v>3731.68</v>
      </c>
      <c r="Y125" s="7">
        <f t="shared" si="81"/>
        <v>1879.18</v>
      </c>
      <c r="Z125" s="7">
        <f t="shared" si="81"/>
        <v>0</v>
      </c>
      <c r="AA125" s="7">
        <f t="shared" si="81"/>
        <v>0</v>
      </c>
      <c r="AB125" s="7">
        <f t="shared" si="81"/>
        <v>6450.53</v>
      </c>
      <c r="AC125" s="7">
        <f t="shared" si="81"/>
        <v>2594.37</v>
      </c>
      <c r="AD125" s="7">
        <f t="shared" si="81"/>
        <v>30.09</v>
      </c>
      <c r="AE125" s="7">
        <f t="shared" si="81"/>
        <v>17.149999999999999</v>
      </c>
      <c r="AF125" s="7">
        <f t="shared" si="81"/>
        <v>3808.92</v>
      </c>
      <c r="AG125" s="7">
        <f t="shared" si="81"/>
        <v>0</v>
      </c>
      <c r="AH125" s="7">
        <f t="shared" si="81"/>
        <v>5.3934343</v>
      </c>
      <c r="AI125" s="7">
        <f t="shared" si="81"/>
        <v>2.4568099999999999E-2</v>
      </c>
      <c r="AJ125" s="7">
        <f t="shared" si="81"/>
        <v>0</v>
      </c>
      <c r="AK125" s="7">
        <f t="shared" si="81"/>
        <v>3731.68</v>
      </c>
      <c r="AL125" s="7">
        <f t="shared" si="81"/>
        <v>1879.18</v>
      </c>
      <c r="AM125" s="7">
        <f t="shared" si="81"/>
        <v>0</v>
      </c>
      <c r="AN125" s="7">
        <f t="shared" si="81"/>
        <v>0</v>
      </c>
      <c r="AO125" s="7">
        <f t="shared" si="81"/>
        <v>0</v>
      </c>
      <c r="AP125" s="7">
        <f t="shared" si="81"/>
        <v>0</v>
      </c>
      <c r="AQ125" s="7">
        <f t="shared" si="81"/>
        <v>0</v>
      </c>
      <c r="AR125" s="7">
        <f t="shared" si="81"/>
        <v>12061.39</v>
      </c>
      <c r="AS125" s="7">
        <f t="shared" si="81"/>
        <v>12061.39</v>
      </c>
      <c r="AT125" s="7">
        <f t="shared" si="81"/>
        <v>0</v>
      </c>
      <c r="AU125" s="7">
        <f t="shared" ref="AU125:BZ125" si="82">AU139</f>
        <v>0</v>
      </c>
      <c r="AV125" s="7">
        <f t="shared" si="82"/>
        <v>2594.37</v>
      </c>
      <c r="AW125" s="7">
        <f t="shared" si="82"/>
        <v>2594.37</v>
      </c>
      <c r="AX125" s="7">
        <f t="shared" si="82"/>
        <v>0</v>
      </c>
      <c r="AY125" s="7">
        <f t="shared" si="82"/>
        <v>2594.37</v>
      </c>
      <c r="AZ125" s="7">
        <f t="shared" si="82"/>
        <v>0</v>
      </c>
      <c r="BA125" s="7">
        <f t="shared" si="82"/>
        <v>0</v>
      </c>
      <c r="BB125" s="7">
        <f t="shared" si="82"/>
        <v>0</v>
      </c>
      <c r="BC125" s="7">
        <f t="shared" si="82"/>
        <v>0</v>
      </c>
      <c r="BD125" s="7">
        <f t="shared" si="82"/>
        <v>0</v>
      </c>
      <c r="BE125" s="7">
        <f t="shared" si="82"/>
        <v>0</v>
      </c>
      <c r="BF125" s="7">
        <f t="shared" si="82"/>
        <v>0</v>
      </c>
      <c r="BG125" s="7">
        <f t="shared" si="82"/>
        <v>0</v>
      </c>
      <c r="BH125" s="7">
        <f t="shared" si="82"/>
        <v>0</v>
      </c>
      <c r="BI125" s="7">
        <f t="shared" si="82"/>
        <v>0</v>
      </c>
      <c r="BJ125" s="7">
        <f t="shared" si="82"/>
        <v>0</v>
      </c>
      <c r="BK125" s="7">
        <f t="shared" si="82"/>
        <v>0</v>
      </c>
      <c r="BL125" s="7">
        <f t="shared" si="82"/>
        <v>0</v>
      </c>
      <c r="BM125" s="7">
        <f t="shared" si="82"/>
        <v>0</v>
      </c>
      <c r="BN125" s="7">
        <f t="shared" si="82"/>
        <v>0</v>
      </c>
      <c r="BO125" s="7">
        <f t="shared" si="82"/>
        <v>0</v>
      </c>
      <c r="BP125" s="7">
        <f t="shared" si="82"/>
        <v>0</v>
      </c>
      <c r="BQ125" s="7">
        <f t="shared" si="82"/>
        <v>0</v>
      </c>
      <c r="BR125" s="7">
        <f t="shared" si="82"/>
        <v>0</v>
      </c>
      <c r="BS125" s="7">
        <f t="shared" si="82"/>
        <v>0</v>
      </c>
      <c r="BT125" s="7">
        <f t="shared" si="82"/>
        <v>0</v>
      </c>
      <c r="BU125" s="7">
        <f t="shared" si="82"/>
        <v>0</v>
      </c>
      <c r="BV125" s="7">
        <f t="shared" si="82"/>
        <v>0</v>
      </c>
      <c r="BW125" s="7">
        <f t="shared" si="82"/>
        <v>0</v>
      </c>
      <c r="BX125" s="7">
        <f t="shared" si="82"/>
        <v>0</v>
      </c>
      <c r="BY125" s="7">
        <f t="shared" si="82"/>
        <v>0</v>
      </c>
      <c r="BZ125" s="7">
        <f t="shared" si="82"/>
        <v>0</v>
      </c>
      <c r="CA125" s="7">
        <f t="shared" ref="CA125:DF125" si="83">CA139</f>
        <v>12061.39</v>
      </c>
      <c r="CB125" s="7">
        <f t="shared" si="83"/>
        <v>12061.39</v>
      </c>
      <c r="CC125" s="7">
        <f t="shared" si="83"/>
        <v>0</v>
      </c>
      <c r="CD125" s="7">
        <f t="shared" si="83"/>
        <v>0</v>
      </c>
      <c r="CE125" s="7">
        <f t="shared" si="83"/>
        <v>2594.37</v>
      </c>
      <c r="CF125" s="7">
        <f t="shared" si="83"/>
        <v>2594.37</v>
      </c>
      <c r="CG125" s="7">
        <f t="shared" si="83"/>
        <v>0</v>
      </c>
      <c r="CH125" s="7">
        <f t="shared" si="83"/>
        <v>2594.37</v>
      </c>
      <c r="CI125" s="7">
        <f t="shared" si="83"/>
        <v>0</v>
      </c>
      <c r="CJ125" s="7">
        <f t="shared" si="83"/>
        <v>0</v>
      </c>
      <c r="CK125" s="7">
        <f t="shared" si="83"/>
        <v>0</v>
      </c>
      <c r="CL125" s="7">
        <f t="shared" si="83"/>
        <v>0</v>
      </c>
      <c r="CM125" s="7">
        <f t="shared" si="83"/>
        <v>0</v>
      </c>
      <c r="CN125" s="7">
        <f t="shared" si="83"/>
        <v>0</v>
      </c>
      <c r="CO125" s="7">
        <f t="shared" si="83"/>
        <v>0</v>
      </c>
      <c r="CP125" s="7">
        <f t="shared" si="83"/>
        <v>0</v>
      </c>
      <c r="CQ125" s="7">
        <f t="shared" si="83"/>
        <v>0</v>
      </c>
      <c r="CR125" s="7">
        <f t="shared" si="83"/>
        <v>0</v>
      </c>
      <c r="CS125" s="7">
        <f t="shared" si="83"/>
        <v>0</v>
      </c>
      <c r="CT125" s="7">
        <f t="shared" si="83"/>
        <v>0</v>
      </c>
      <c r="CU125" s="7">
        <f t="shared" si="83"/>
        <v>0</v>
      </c>
      <c r="CV125" s="7">
        <f t="shared" si="83"/>
        <v>0</v>
      </c>
      <c r="CW125" s="7">
        <f t="shared" si="83"/>
        <v>0</v>
      </c>
      <c r="CX125" s="7">
        <f t="shared" si="83"/>
        <v>0</v>
      </c>
      <c r="CY125" s="7">
        <f t="shared" si="83"/>
        <v>0</v>
      </c>
      <c r="CZ125" s="7">
        <f t="shared" si="83"/>
        <v>0</v>
      </c>
      <c r="DA125" s="7">
        <f t="shared" si="83"/>
        <v>0</v>
      </c>
      <c r="DB125" s="7">
        <f t="shared" si="83"/>
        <v>0</v>
      </c>
      <c r="DC125" s="7">
        <f t="shared" si="83"/>
        <v>0</v>
      </c>
      <c r="DD125" s="7">
        <f t="shared" si="83"/>
        <v>0</v>
      </c>
      <c r="DE125" s="7">
        <f t="shared" si="83"/>
        <v>0</v>
      </c>
      <c r="DF125" s="7">
        <f t="shared" si="83"/>
        <v>0</v>
      </c>
      <c r="DG125" s="5">
        <f t="shared" ref="DG125:EL125" si="84">DG139</f>
        <v>0</v>
      </c>
      <c r="DH125" s="5">
        <f t="shared" si="84"/>
        <v>0</v>
      </c>
      <c r="DI125" s="5">
        <f t="shared" si="84"/>
        <v>0</v>
      </c>
      <c r="DJ125" s="5">
        <f t="shared" si="84"/>
        <v>0</v>
      </c>
      <c r="DK125" s="5">
        <f t="shared" si="84"/>
        <v>0</v>
      </c>
      <c r="DL125" s="5">
        <f t="shared" si="84"/>
        <v>0</v>
      </c>
      <c r="DM125" s="5">
        <f t="shared" si="84"/>
        <v>0</v>
      </c>
      <c r="DN125" s="5">
        <f t="shared" si="84"/>
        <v>0</v>
      </c>
      <c r="DO125" s="5">
        <f t="shared" si="84"/>
        <v>0</v>
      </c>
      <c r="DP125" s="5">
        <f t="shared" si="84"/>
        <v>0</v>
      </c>
      <c r="DQ125" s="5">
        <f t="shared" si="84"/>
        <v>0</v>
      </c>
      <c r="DR125" s="5">
        <f t="shared" si="84"/>
        <v>0</v>
      </c>
      <c r="DS125" s="5">
        <f t="shared" si="84"/>
        <v>0</v>
      </c>
      <c r="DT125" s="5">
        <f t="shared" si="84"/>
        <v>0</v>
      </c>
      <c r="DU125" s="5">
        <f t="shared" si="84"/>
        <v>0</v>
      </c>
      <c r="DV125" s="5">
        <f t="shared" si="84"/>
        <v>0</v>
      </c>
      <c r="DW125" s="5">
        <f t="shared" si="84"/>
        <v>0</v>
      </c>
      <c r="DX125" s="5">
        <f t="shared" si="84"/>
        <v>0</v>
      </c>
      <c r="DY125" s="5">
        <f t="shared" si="84"/>
        <v>0</v>
      </c>
      <c r="DZ125" s="5">
        <f t="shared" si="84"/>
        <v>0</v>
      </c>
      <c r="EA125" s="5">
        <f t="shared" si="84"/>
        <v>0</v>
      </c>
      <c r="EB125" s="5">
        <f t="shared" si="84"/>
        <v>0</v>
      </c>
      <c r="EC125" s="5">
        <f t="shared" si="84"/>
        <v>0</v>
      </c>
      <c r="ED125" s="5">
        <f t="shared" si="84"/>
        <v>0</v>
      </c>
      <c r="EE125" s="5">
        <f t="shared" si="84"/>
        <v>0</v>
      </c>
      <c r="EF125" s="5">
        <f t="shared" si="84"/>
        <v>0</v>
      </c>
      <c r="EG125" s="5">
        <f t="shared" si="84"/>
        <v>0</v>
      </c>
      <c r="EH125" s="5">
        <f t="shared" si="84"/>
        <v>0</v>
      </c>
      <c r="EI125" s="5">
        <f t="shared" si="84"/>
        <v>0</v>
      </c>
      <c r="EJ125" s="5">
        <f t="shared" si="84"/>
        <v>0</v>
      </c>
      <c r="EK125" s="5">
        <f t="shared" si="84"/>
        <v>0</v>
      </c>
      <c r="EL125" s="5">
        <f t="shared" si="84"/>
        <v>0</v>
      </c>
      <c r="EM125" s="5">
        <f t="shared" ref="EM125:FR125" si="85">EM139</f>
        <v>0</v>
      </c>
      <c r="EN125" s="5">
        <f t="shared" si="85"/>
        <v>0</v>
      </c>
      <c r="EO125" s="5">
        <f t="shared" si="85"/>
        <v>0</v>
      </c>
      <c r="EP125" s="5">
        <f t="shared" si="85"/>
        <v>0</v>
      </c>
      <c r="EQ125" s="5">
        <f t="shared" si="85"/>
        <v>0</v>
      </c>
      <c r="ER125" s="5">
        <f t="shared" si="85"/>
        <v>0</v>
      </c>
      <c r="ES125" s="5">
        <f t="shared" si="85"/>
        <v>0</v>
      </c>
      <c r="ET125" s="5">
        <f t="shared" si="85"/>
        <v>0</v>
      </c>
      <c r="EU125" s="5">
        <f t="shared" si="85"/>
        <v>0</v>
      </c>
      <c r="EV125" s="5">
        <f t="shared" si="85"/>
        <v>0</v>
      </c>
      <c r="EW125" s="5">
        <f t="shared" si="85"/>
        <v>0</v>
      </c>
      <c r="EX125" s="5">
        <f t="shared" si="85"/>
        <v>0</v>
      </c>
      <c r="EY125" s="5">
        <f t="shared" si="85"/>
        <v>0</v>
      </c>
      <c r="EZ125" s="5">
        <f t="shared" si="85"/>
        <v>0</v>
      </c>
      <c r="FA125" s="5">
        <f t="shared" si="85"/>
        <v>0</v>
      </c>
      <c r="FB125" s="5">
        <f t="shared" si="85"/>
        <v>0</v>
      </c>
      <c r="FC125" s="5">
        <f t="shared" si="85"/>
        <v>0</v>
      </c>
      <c r="FD125" s="5">
        <f t="shared" si="85"/>
        <v>0</v>
      </c>
      <c r="FE125" s="5">
        <f t="shared" si="85"/>
        <v>0</v>
      </c>
      <c r="FF125" s="5">
        <f t="shared" si="85"/>
        <v>0</v>
      </c>
      <c r="FG125" s="5">
        <f t="shared" si="85"/>
        <v>0</v>
      </c>
      <c r="FH125" s="5">
        <f t="shared" si="85"/>
        <v>0</v>
      </c>
      <c r="FI125" s="5">
        <f t="shared" si="85"/>
        <v>0</v>
      </c>
      <c r="FJ125" s="5">
        <f t="shared" si="85"/>
        <v>0</v>
      </c>
      <c r="FK125" s="5">
        <f t="shared" si="85"/>
        <v>0</v>
      </c>
      <c r="FL125" s="5">
        <f t="shared" si="85"/>
        <v>0</v>
      </c>
      <c r="FM125" s="5">
        <f t="shared" si="85"/>
        <v>0</v>
      </c>
      <c r="FN125" s="5">
        <f t="shared" si="85"/>
        <v>0</v>
      </c>
      <c r="FO125" s="5">
        <f t="shared" si="85"/>
        <v>0</v>
      </c>
      <c r="FP125" s="5">
        <f t="shared" si="85"/>
        <v>0</v>
      </c>
      <c r="FQ125" s="5">
        <f t="shared" si="85"/>
        <v>0</v>
      </c>
      <c r="FR125" s="5">
        <f t="shared" si="85"/>
        <v>0</v>
      </c>
      <c r="FS125" s="5">
        <f t="shared" ref="FS125:GX125" si="86">FS139</f>
        <v>0</v>
      </c>
      <c r="FT125" s="5">
        <f t="shared" si="86"/>
        <v>0</v>
      </c>
      <c r="FU125" s="5">
        <f t="shared" si="86"/>
        <v>0</v>
      </c>
      <c r="FV125" s="5">
        <f t="shared" si="86"/>
        <v>0</v>
      </c>
      <c r="FW125" s="5">
        <f t="shared" si="86"/>
        <v>0</v>
      </c>
      <c r="FX125" s="5">
        <f t="shared" si="86"/>
        <v>0</v>
      </c>
      <c r="FY125" s="5">
        <f t="shared" si="86"/>
        <v>0</v>
      </c>
      <c r="FZ125" s="5">
        <f t="shared" si="86"/>
        <v>0</v>
      </c>
      <c r="GA125" s="5">
        <f t="shared" si="86"/>
        <v>0</v>
      </c>
      <c r="GB125" s="5">
        <f t="shared" si="86"/>
        <v>0</v>
      </c>
      <c r="GC125" s="5">
        <f t="shared" si="86"/>
        <v>0</v>
      </c>
      <c r="GD125" s="5">
        <f t="shared" si="86"/>
        <v>0</v>
      </c>
      <c r="GE125" s="5">
        <f t="shared" si="86"/>
        <v>0</v>
      </c>
      <c r="GF125" s="5">
        <f t="shared" si="86"/>
        <v>0</v>
      </c>
      <c r="GG125" s="5">
        <f t="shared" si="86"/>
        <v>0</v>
      </c>
      <c r="GH125" s="5">
        <f t="shared" si="86"/>
        <v>0</v>
      </c>
      <c r="GI125" s="5">
        <f t="shared" si="86"/>
        <v>0</v>
      </c>
      <c r="GJ125" s="5">
        <f t="shared" si="86"/>
        <v>0</v>
      </c>
      <c r="GK125" s="5">
        <f t="shared" si="86"/>
        <v>0</v>
      </c>
      <c r="GL125" s="5">
        <f t="shared" si="86"/>
        <v>0</v>
      </c>
      <c r="GM125" s="5">
        <f t="shared" si="86"/>
        <v>0</v>
      </c>
      <c r="GN125" s="5">
        <f t="shared" si="86"/>
        <v>0</v>
      </c>
      <c r="GO125" s="5">
        <f t="shared" si="86"/>
        <v>0</v>
      </c>
      <c r="GP125" s="5">
        <f t="shared" si="86"/>
        <v>0</v>
      </c>
      <c r="GQ125" s="5">
        <f t="shared" si="86"/>
        <v>0</v>
      </c>
      <c r="GR125" s="5">
        <f t="shared" si="86"/>
        <v>0</v>
      </c>
      <c r="GS125" s="5">
        <f t="shared" si="86"/>
        <v>0</v>
      </c>
      <c r="GT125" s="5">
        <f t="shared" si="86"/>
        <v>0</v>
      </c>
      <c r="GU125" s="5">
        <f t="shared" si="86"/>
        <v>0</v>
      </c>
      <c r="GV125" s="5">
        <f t="shared" si="86"/>
        <v>0</v>
      </c>
      <c r="GW125" s="5">
        <f t="shared" si="86"/>
        <v>0</v>
      </c>
      <c r="GX125" s="5">
        <f t="shared" si="86"/>
        <v>0</v>
      </c>
    </row>
    <row r="127" spans="1:245" x14ac:dyDescent="0.25">
      <c r="A127">
        <v>17</v>
      </c>
      <c r="B127">
        <v>1</v>
      </c>
      <c r="C127">
        <f>ROW(SmtRes!A124)</f>
        <v>124</v>
      </c>
      <c r="D127">
        <f>ROW(EtalonRes!A124)</f>
        <v>124</v>
      </c>
      <c r="E127" t="s">
        <v>282</v>
      </c>
      <c r="F127" t="s">
        <v>528</v>
      </c>
      <c r="G127" t="s">
        <v>529</v>
      </c>
      <c r="H127" t="s">
        <v>225</v>
      </c>
      <c r="I127">
        <f>ROUND(2/100,7)</f>
        <v>0.02</v>
      </c>
      <c r="J127">
        <v>0</v>
      </c>
      <c r="K127">
        <f>ROUND(2/100,7)</f>
        <v>0.02</v>
      </c>
      <c r="O127">
        <f t="shared" ref="O127:O137" si="87">ROUND(CP127,2)</f>
        <v>2364.02</v>
      </c>
      <c r="P127">
        <f>SUMIF(SmtRes!AQ112:'SmtRes'!AQ124,"=1",SmtRes!DF112:'SmtRes'!DF124)</f>
        <v>42.6</v>
      </c>
      <c r="Q127">
        <f>SUMIF(SmtRes!AQ112:'SmtRes'!AQ124,"=1",SmtRes!DG112:'SmtRes'!DG124)</f>
        <v>22.700000000000003</v>
      </c>
      <c r="R127">
        <f>SUMIF(SmtRes!AQ112:'SmtRes'!AQ124,"=1",SmtRes!DH112:'SmtRes'!DH124)</f>
        <v>9.82</v>
      </c>
      <c r="S127">
        <f>SUMIF(SmtRes!AQ112:'SmtRes'!AQ124,"=1",SmtRes!DI112:'SmtRes'!DI124)</f>
        <v>2288.9</v>
      </c>
      <c r="T127">
        <f t="shared" ref="T127:T137" si="88">ROUND(CU127*I127,2)</f>
        <v>0</v>
      </c>
      <c r="U127">
        <f>SUMIF(SmtRes!AQ112:'SmtRes'!AQ124,"=1",SmtRes!CV112:'SmtRes'!CV124)</f>
        <v>3.17</v>
      </c>
      <c r="V127">
        <f>SUMIF(SmtRes!AQ112:'SmtRes'!AQ124,"=1",SmtRes!CW112:'SmtRes'!CW124)</f>
        <v>1.44E-2</v>
      </c>
      <c r="W127">
        <f t="shared" ref="W127:W137" si="89">ROUND(CX127*I127,2)</f>
        <v>0</v>
      </c>
      <c r="X127">
        <f t="shared" ref="X127:X137" si="90">ROUND(CY127,2)</f>
        <v>2367.6799999999998</v>
      </c>
      <c r="Y127">
        <f t="shared" ref="Y127:Y137" si="91">ROUND(CZ127,2)</f>
        <v>1195.33</v>
      </c>
      <c r="AA127">
        <v>78397139</v>
      </c>
      <c r="AB127">
        <f t="shared" ref="AB127:AB137" si="92">ROUND((AC127+AD127+AF127),6)</f>
        <v>117581.98978</v>
      </c>
      <c r="AC127">
        <f>ROUND((SUM(SmtRes!BQ112:'SmtRes'!BQ124)),6)</f>
        <v>2017.79618</v>
      </c>
      <c r="AD127">
        <f>ROUND((((SUM(SmtRes!BR112:'SmtRes'!BR124))-(SUM(SmtRes!BS112:'SmtRes'!BS124)))+AE127),6)</f>
        <v>1119.2686000000001</v>
      </c>
      <c r="AE127">
        <f>ROUND((SUM(SmtRes!BS112:'SmtRes'!BS124)),6)</f>
        <v>490.77719999999999</v>
      </c>
      <c r="AF127">
        <f>ROUND((SUM(SmtRes!BT112:'SmtRes'!BT124)),6)</f>
        <v>114444.925</v>
      </c>
      <c r="AG127">
        <f t="shared" ref="AG127:AG137" si="93">ROUND((AP127),6)</f>
        <v>0</v>
      </c>
      <c r="AH127">
        <f>(SUM(SmtRes!BU112:'SmtRes'!BU124))</f>
        <v>158.5</v>
      </c>
      <c r="AI127">
        <f>(SUM(SmtRes!BV112:'SmtRes'!BV124))</f>
        <v>0.72</v>
      </c>
      <c r="AJ127">
        <f t="shared" ref="AJ127:AJ137" si="94">(AS127)</f>
        <v>0</v>
      </c>
      <c r="AK127">
        <v>118072.76698</v>
      </c>
      <c r="AL127">
        <v>2017.79618</v>
      </c>
      <c r="AM127">
        <v>1119.2686000000001</v>
      </c>
      <c r="AN127">
        <v>490.77719999999999</v>
      </c>
      <c r="AO127">
        <v>114444.925</v>
      </c>
      <c r="AP127">
        <v>0</v>
      </c>
      <c r="AQ127">
        <v>158.5</v>
      </c>
      <c r="AR127">
        <v>0.72</v>
      </c>
      <c r="AS127">
        <v>0</v>
      </c>
      <c r="AT127">
        <v>103</v>
      </c>
      <c r="AU127">
        <v>52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332</v>
      </c>
      <c r="BE127" t="s">
        <v>332</v>
      </c>
      <c r="BF127" t="s">
        <v>332</v>
      </c>
      <c r="BG127" t="s">
        <v>332</v>
      </c>
      <c r="BH127">
        <v>0</v>
      </c>
      <c r="BI127">
        <v>1</v>
      </c>
      <c r="BJ127" t="s">
        <v>530</v>
      </c>
      <c r="BM127">
        <v>65007</v>
      </c>
      <c r="BN127">
        <v>0</v>
      </c>
      <c r="BO127" t="s">
        <v>332</v>
      </c>
      <c r="BP127">
        <v>0</v>
      </c>
      <c r="BQ127">
        <v>6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332</v>
      </c>
      <c r="BZ127">
        <v>103</v>
      </c>
      <c r="CA127">
        <v>52</v>
      </c>
      <c r="CB127" t="s">
        <v>332</v>
      </c>
      <c r="CE127">
        <v>0</v>
      </c>
      <c r="CF127">
        <v>0</v>
      </c>
      <c r="CG127">
        <v>0</v>
      </c>
      <c r="CM127">
        <v>0</v>
      </c>
      <c r="CN127" t="s">
        <v>332</v>
      </c>
      <c r="CO127">
        <v>0</v>
      </c>
      <c r="CP127">
        <f t="shared" ref="CP127:CP137" si="95">(P127+Q127+S127+R127)</f>
        <v>2364.0200000000004</v>
      </c>
      <c r="CQ127">
        <f>SUMIF(SmtRes!AQ112:'SmtRes'!AQ124,"=1",SmtRes!AA112:'SmtRes'!AA124)</f>
        <v>109686.28</v>
      </c>
      <c r="CR127">
        <f>SUMIF(SmtRes!AQ112:'SmtRes'!AQ124,"=1",SmtRes!AB112:'SmtRes'!AB124)</f>
        <v>738.37</v>
      </c>
      <c r="CS127">
        <f>SUMIF(SmtRes!AQ112:'SmtRes'!AQ124,"=1",SmtRes!AC112:'SmtRes'!AC124)</f>
        <v>1363.27</v>
      </c>
      <c r="CT127">
        <f>SUMIF(SmtRes!AQ112:'SmtRes'!AQ124,"=1",SmtRes!AD112:'SmtRes'!AD124)</f>
        <v>722.05</v>
      </c>
      <c r="CU127">
        <f t="shared" ref="CU127:CU137" si="96">AG127</f>
        <v>0</v>
      </c>
      <c r="CV127">
        <f>SUMIF(SmtRes!AQ112:'SmtRes'!AQ124,"=1",SmtRes!BU112:'SmtRes'!BU124)</f>
        <v>158.5</v>
      </c>
      <c r="CW127">
        <f>SUMIF(SmtRes!AQ112:'SmtRes'!AQ124,"=1",SmtRes!BV112:'SmtRes'!BV124)</f>
        <v>0.72</v>
      </c>
      <c r="CX127">
        <f t="shared" ref="CX127:CX137" si="97">AJ127</f>
        <v>0</v>
      </c>
      <c r="CY127">
        <f t="shared" ref="CY127:CY136" si="98">(((S127+R127)*AT127)/100)</f>
        <v>2367.6816000000003</v>
      </c>
      <c r="CZ127">
        <f t="shared" ref="CZ127:CZ136" si="99">(((S127+R127)*AU127)/100)</f>
        <v>1195.3344000000002</v>
      </c>
      <c r="DC127" t="s">
        <v>332</v>
      </c>
      <c r="DD127" t="s">
        <v>332</v>
      </c>
      <c r="DE127" t="s">
        <v>332</v>
      </c>
      <c r="DF127" t="s">
        <v>332</v>
      </c>
      <c r="DG127" t="s">
        <v>332</v>
      </c>
      <c r="DH127" t="s">
        <v>332</v>
      </c>
      <c r="DI127" t="s">
        <v>332</v>
      </c>
      <c r="DJ127" t="s">
        <v>332</v>
      </c>
      <c r="DK127" t="s">
        <v>332</v>
      </c>
      <c r="DL127" t="s">
        <v>332</v>
      </c>
      <c r="DM127" t="s">
        <v>332</v>
      </c>
      <c r="DN127">
        <v>0</v>
      </c>
      <c r="DO127">
        <v>0</v>
      </c>
      <c r="DP127">
        <v>1</v>
      </c>
      <c r="DQ127">
        <v>1</v>
      </c>
      <c r="DU127">
        <v>1003</v>
      </c>
      <c r="DV127" t="s">
        <v>225</v>
      </c>
      <c r="DW127" t="s">
        <v>225</v>
      </c>
      <c r="DX127">
        <v>100</v>
      </c>
      <c r="DZ127" t="s">
        <v>332</v>
      </c>
      <c r="EA127" t="s">
        <v>332</v>
      </c>
      <c r="EB127" t="s">
        <v>332</v>
      </c>
      <c r="EC127" t="s">
        <v>332</v>
      </c>
      <c r="EE127">
        <v>77313190</v>
      </c>
      <c r="EF127">
        <v>6</v>
      </c>
      <c r="EG127" t="s">
        <v>349</v>
      </c>
      <c r="EH127">
        <v>99</v>
      </c>
      <c r="EI127" t="s">
        <v>360</v>
      </c>
      <c r="EJ127">
        <v>1</v>
      </c>
      <c r="EK127">
        <v>65007</v>
      </c>
      <c r="EL127" t="s">
        <v>361</v>
      </c>
      <c r="EM127" t="s">
        <v>362</v>
      </c>
      <c r="EO127" t="s">
        <v>332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158.5</v>
      </c>
      <c r="EX127">
        <v>0.72</v>
      </c>
      <c r="EY127">
        <v>0</v>
      </c>
      <c r="FQ127">
        <v>0</v>
      </c>
      <c r="FR127">
        <v>0</v>
      </c>
      <c r="FS127">
        <v>0</v>
      </c>
      <c r="FX127">
        <v>103</v>
      </c>
      <c r="FY127">
        <v>52</v>
      </c>
      <c r="GA127" t="s">
        <v>332</v>
      </c>
      <c r="GD127">
        <v>1</v>
      </c>
      <c r="GF127">
        <v>2084083242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ref="GL127:GL137" si="100">ROUND(IF(AND(BH127=3,BI127=3,FS127&lt;&gt;0),P127,0),2)</f>
        <v>0</v>
      </c>
      <c r="GM127">
        <f t="shared" ref="GM127:GM137" si="101">ROUND(O127+X127+Y127,2)+GX127</f>
        <v>5927.03</v>
      </c>
      <c r="GN127">
        <f t="shared" ref="GN127:GN137" si="102">IF(OR(BI127=0,BI127=1),GM127-GX127,0)</f>
        <v>5927.03</v>
      </c>
      <c r="GO127">
        <f t="shared" ref="GO127:GO137" si="103">IF(BI127=2,GM127-GX127,0)</f>
        <v>0</v>
      </c>
      <c r="GP127">
        <f t="shared" ref="GP127:GP137" si="104">IF(BI127=4,GM127-GX127,0)</f>
        <v>0</v>
      </c>
      <c r="GR127">
        <v>0</v>
      </c>
      <c r="GS127">
        <v>3</v>
      </c>
      <c r="GT127">
        <v>0</v>
      </c>
      <c r="GU127" t="s">
        <v>332</v>
      </c>
      <c r="GV127">
        <f t="shared" ref="GV127:GV137" si="105">ROUND((GT127),6)</f>
        <v>0</v>
      </c>
      <c r="GW127">
        <v>1</v>
      </c>
      <c r="GX127">
        <f t="shared" ref="GX127:GX137" si="106">ROUND(HC127*I127,2)</f>
        <v>0</v>
      </c>
      <c r="HA127">
        <v>0</v>
      </c>
      <c r="HB127">
        <v>0</v>
      </c>
      <c r="HC127">
        <f t="shared" ref="HC127:HC137" si="107">GV127*GW127</f>
        <v>0</v>
      </c>
      <c r="HE127" t="s">
        <v>332</v>
      </c>
      <c r="HF127" t="s">
        <v>332</v>
      </c>
      <c r="HM127" t="s">
        <v>332</v>
      </c>
      <c r="HN127" t="s">
        <v>90</v>
      </c>
      <c r="HO127" t="s">
        <v>92</v>
      </c>
      <c r="HP127" t="s">
        <v>361</v>
      </c>
      <c r="HQ127" t="s">
        <v>361</v>
      </c>
      <c r="HS127">
        <v>0</v>
      </c>
      <c r="IK127">
        <v>0</v>
      </c>
    </row>
    <row r="128" spans="1:245" x14ac:dyDescent="0.25">
      <c r="A128">
        <v>18</v>
      </c>
      <c r="B128">
        <v>1</v>
      </c>
      <c r="C128">
        <v>122</v>
      </c>
      <c r="E128" t="s">
        <v>531</v>
      </c>
      <c r="F128" t="s">
        <v>532</v>
      </c>
      <c r="G128" t="s">
        <v>533</v>
      </c>
      <c r="H128" t="s">
        <v>69</v>
      </c>
      <c r="I128">
        <f>I127*J128</f>
        <v>2</v>
      </c>
      <c r="J128">
        <v>100</v>
      </c>
      <c r="K128">
        <v>100</v>
      </c>
      <c r="O128">
        <f t="shared" si="87"/>
        <v>886.88</v>
      </c>
      <c r="P128">
        <f>ROUND(CQ128*I128,2)</f>
        <v>886.88</v>
      </c>
      <c r="Q128">
        <f>ROUND(CR128*I128,2)</f>
        <v>0</v>
      </c>
      <c r="R128">
        <f>ROUND(CS128*I128,2)</f>
        <v>0</v>
      </c>
      <c r="S128">
        <f>ROUND(CT128*I128,2)</f>
        <v>0</v>
      </c>
      <c r="T128">
        <f t="shared" si="88"/>
        <v>0</v>
      </c>
      <c r="U128">
        <f>ROUND(CV128*I128,7)</f>
        <v>0</v>
      </c>
      <c r="V128">
        <f>ROUND(CW128*I128,7)</f>
        <v>0</v>
      </c>
      <c r="W128">
        <f t="shared" si="89"/>
        <v>0</v>
      </c>
      <c r="X128">
        <f t="shared" si="90"/>
        <v>0</v>
      </c>
      <c r="Y128">
        <f t="shared" si="91"/>
        <v>0</v>
      </c>
      <c r="AA128">
        <v>78397139</v>
      </c>
      <c r="AB128">
        <f t="shared" si="92"/>
        <v>554.29999999999995</v>
      </c>
      <c r="AC128">
        <f>ROUND((ES128),6)</f>
        <v>554.29999999999995</v>
      </c>
      <c r="AD128">
        <f>ROUND((((ET128)-(EU128))+AE128),6)</f>
        <v>0</v>
      </c>
      <c r="AE128">
        <f t="shared" ref="AE128:AF130" si="108">ROUND((EU128),6)</f>
        <v>0</v>
      </c>
      <c r="AF128">
        <f t="shared" si="108"/>
        <v>0</v>
      </c>
      <c r="AG128">
        <f t="shared" si="93"/>
        <v>0</v>
      </c>
      <c r="AH128">
        <f t="shared" ref="AH128:AI130" si="109">(EW128)</f>
        <v>0</v>
      </c>
      <c r="AI128">
        <f t="shared" si="109"/>
        <v>0</v>
      </c>
      <c r="AJ128">
        <f t="shared" si="94"/>
        <v>0</v>
      </c>
      <c r="AK128">
        <v>554.29999999999995</v>
      </c>
      <c r="AL128">
        <v>554.29999999999995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103</v>
      </c>
      <c r="AU128">
        <v>52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0.8</v>
      </c>
      <c r="BD128" t="s">
        <v>332</v>
      </c>
      <c r="BE128" t="s">
        <v>332</v>
      </c>
      <c r="BF128" t="s">
        <v>332</v>
      </c>
      <c r="BG128" t="s">
        <v>332</v>
      </c>
      <c r="BH128">
        <v>3</v>
      </c>
      <c r="BI128">
        <v>1</v>
      </c>
      <c r="BJ128" t="s">
        <v>534</v>
      </c>
      <c r="BM128">
        <v>65007</v>
      </c>
      <c r="BN128">
        <v>0</v>
      </c>
      <c r="BO128" t="s">
        <v>532</v>
      </c>
      <c r="BP128">
        <v>1</v>
      </c>
      <c r="BQ128">
        <v>6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332</v>
      </c>
      <c r="BZ128">
        <v>103</v>
      </c>
      <c r="CA128">
        <v>52</v>
      </c>
      <c r="CB128" t="s">
        <v>332</v>
      </c>
      <c r="CE128">
        <v>0</v>
      </c>
      <c r="CF128">
        <v>0</v>
      </c>
      <c r="CG128">
        <v>0</v>
      </c>
      <c r="CM128">
        <v>0</v>
      </c>
      <c r="CN128" t="s">
        <v>332</v>
      </c>
      <c r="CO128">
        <v>0</v>
      </c>
      <c r="CP128">
        <f t="shared" si="95"/>
        <v>886.88</v>
      </c>
      <c r="CQ128">
        <f>ROUND(AL128*BC128,2)</f>
        <v>443.44</v>
      </c>
      <c r="CR128">
        <f>ROUND(AM128*BB128,2)</f>
        <v>0</v>
      </c>
      <c r="CS128">
        <f>ROUND(AN128*BS128,2)</f>
        <v>0</v>
      </c>
      <c r="CT128">
        <f>ROUND(AO128*BA128,2)</f>
        <v>0</v>
      </c>
      <c r="CU128">
        <f t="shared" si="96"/>
        <v>0</v>
      </c>
      <c r="CV128">
        <f t="shared" ref="CV128:CW130" si="110">AH128</f>
        <v>0</v>
      </c>
      <c r="CW128">
        <f t="shared" si="110"/>
        <v>0</v>
      </c>
      <c r="CX128">
        <f t="shared" si="97"/>
        <v>0</v>
      </c>
      <c r="CY128">
        <f t="shared" si="98"/>
        <v>0</v>
      </c>
      <c r="CZ128">
        <f t="shared" si="99"/>
        <v>0</v>
      </c>
      <c r="DC128" t="s">
        <v>332</v>
      </c>
      <c r="DD128" t="s">
        <v>332</v>
      </c>
      <c r="DE128" t="s">
        <v>332</v>
      </c>
      <c r="DF128" t="s">
        <v>332</v>
      </c>
      <c r="DG128" t="s">
        <v>332</v>
      </c>
      <c r="DH128" t="s">
        <v>332</v>
      </c>
      <c r="DI128" t="s">
        <v>332</v>
      </c>
      <c r="DJ128" t="s">
        <v>332</v>
      </c>
      <c r="DK128" t="s">
        <v>332</v>
      </c>
      <c r="DL128" t="s">
        <v>332</v>
      </c>
      <c r="DM128" t="s">
        <v>332</v>
      </c>
      <c r="DN128">
        <v>0</v>
      </c>
      <c r="DO128">
        <v>0</v>
      </c>
      <c r="DP128">
        <v>1</v>
      </c>
      <c r="DQ128">
        <v>1</v>
      </c>
      <c r="DU128">
        <v>1003</v>
      </c>
      <c r="DV128" t="s">
        <v>69</v>
      </c>
      <c r="DW128" t="s">
        <v>69</v>
      </c>
      <c r="DX128">
        <v>1</v>
      </c>
      <c r="DZ128" t="s">
        <v>332</v>
      </c>
      <c r="EA128" t="s">
        <v>332</v>
      </c>
      <c r="EB128" t="s">
        <v>332</v>
      </c>
      <c r="EC128" t="s">
        <v>332</v>
      </c>
      <c r="EE128">
        <v>77313190</v>
      </c>
      <c r="EF128">
        <v>6</v>
      </c>
      <c r="EG128" t="s">
        <v>349</v>
      </c>
      <c r="EH128">
        <v>99</v>
      </c>
      <c r="EI128" t="s">
        <v>360</v>
      </c>
      <c r="EJ128">
        <v>1</v>
      </c>
      <c r="EK128">
        <v>65007</v>
      </c>
      <c r="EL128" t="s">
        <v>361</v>
      </c>
      <c r="EM128" t="s">
        <v>362</v>
      </c>
      <c r="EO128" t="s">
        <v>332</v>
      </c>
      <c r="EQ128">
        <v>0</v>
      </c>
      <c r="ER128">
        <v>554.29999999999995</v>
      </c>
      <c r="ES128">
        <v>554.29999999999995</v>
      </c>
      <c r="ET128">
        <v>0</v>
      </c>
      <c r="EU128">
        <v>0</v>
      </c>
      <c r="EV128">
        <v>0</v>
      </c>
      <c r="EW128">
        <v>0</v>
      </c>
      <c r="EX128">
        <v>0</v>
      </c>
      <c r="FQ128">
        <v>0</v>
      </c>
      <c r="FR128">
        <v>0</v>
      </c>
      <c r="FS128">
        <v>0</v>
      </c>
      <c r="FX128">
        <v>103</v>
      </c>
      <c r="FY128">
        <v>52</v>
      </c>
      <c r="GA128" t="s">
        <v>332</v>
      </c>
      <c r="GD128">
        <v>1</v>
      </c>
      <c r="GF128">
        <v>378274165</v>
      </c>
      <c r="GG128">
        <v>2</v>
      </c>
      <c r="GH128">
        <v>1</v>
      </c>
      <c r="GI128">
        <v>2</v>
      </c>
      <c r="GJ128">
        <v>0</v>
      </c>
      <c r="GK128">
        <v>0</v>
      </c>
      <c r="GL128">
        <f t="shared" si="100"/>
        <v>0</v>
      </c>
      <c r="GM128">
        <f t="shared" si="101"/>
        <v>886.88</v>
      </c>
      <c r="GN128">
        <f t="shared" si="102"/>
        <v>886.88</v>
      </c>
      <c r="GO128">
        <f t="shared" si="103"/>
        <v>0</v>
      </c>
      <c r="GP128">
        <f t="shared" si="104"/>
        <v>0</v>
      </c>
      <c r="GR128">
        <v>0</v>
      </c>
      <c r="GS128">
        <v>3</v>
      </c>
      <c r="GT128">
        <v>0</v>
      </c>
      <c r="GU128" t="s">
        <v>332</v>
      </c>
      <c r="GV128">
        <f t="shared" si="105"/>
        <v>0</v>
      </c>
      <c r="GW128">
        <v>1</v>
      </c>
      <c r="GX128">
        <f t="shared" si="106"/>
        <v>0</v>
      </c>
      <c r="HA128">
        <v>0</v>
      </c>
      <c r="HB128">
        <v>0</v>
      </c>
      <c r="HC128">
        <f t="shared" si="107"/>
        <v>0</v>
      </c>
      <c r="HE128" t="s">
        <v>332</v>
      </c>
      <c r="HF128" t="s">
        <v>332</v>
      </c>
      <c r="HM128" t="s">
        <v>332</v>
      </c>
      <c r="HN128" t="s">
        <v>90</v>
      </c>
      <c r="HO128" t="s">
        <v>92</v>
      </c>
      <c r="HP128" t="s">
        <v>361</v>
      </c>
      <c r="HQ128" t="s">
        <v>361</v>
      </c>
      <c r="HS128">
        <v>0</v>
      </c>
      <c r="IK128">
        <v>0</v>
      </c>
    </row>
    <row r="129" spans="1:245" x14ac:dyDescent="0.25">
      <c r="A129">
        <v>18</v>
      </c>
      <c r="B129">
        <v>1</v>
      </c>
      <c r="C129">
        <v>124</v>
      </c>
      <c r="E129" t="s">
        <v>535</v>
      </c>
      <c r="F129" t="s">
        <v>536</v>
      </c>
      <c r="G129" t="s">
        <v>537</v>
      </c>
      <c r="H129" t="s">
        <v>366</v>
      </c>
      <c r="I129">
        <f>I127*J129</f>
        <v>2</v>
      </c>
      <c r="J129">
        <v>100</v>
      </c>
      <c r="K129">
        <v>100</v>
      </c>
      <c r="O129">
        <f t="shared" si="87"/>
        <v>300</v>
      </c>
      <c r="P129">
        <f>ROUND(CQ129*I129,2)</f>
        <v>300</v>
      </c>
      <c r="Q129">
        <f>ROUND(CR129*I129,2)</f>
        <v>0</v>
      </c>
      <c r="R129">
        <f>ROUND(CS129*I129,2)</f>
        <v>0</v>
      </c>
      <c r="S129">
        <f>ROUND(CT129*I129,2)</f>
        <v>0</v>
      </c>
      <c r="T129">
        <f t="shared" si="88"/>
        <v>0</v>
      </c>
      <c r="U129">
        <f>ROUND(CV129*I129,7)</f>
        <v>0</v>
      </c>
      <c r="V129">
        <f>ROUND(CW129*I129,7)</f>
        <v>0</v>
      </c>
      <c r="W129">
        <f t="shared" si="89"/>
        <v>0</v>
      </c>
      <c r="X129">
        <f t="shared" si="90"/>
        <v>0</v>
      </c>
      <c r="Y129">
        <f t="shared" si="91"/>
        <v>0</v>
      </c>
      <c r="AA129">
        <v>78397139</v>
      </c>
      <c r="AB129">
        <f t="shared" si="92"/>
        <v>120.97</v>
      </c>
      <c r="AC129">
        <f>ROUND((ES129),6)</f>
        <v>120.97</v>
      </c>
      <c r="AD129">
        <f>ROUND((((ET129)-(EU129))+AE129),6)</f>
        <v>0</v>
      </c>
      <c r="AE129">
        <f t="shared" si="108"/>
        <v>0</v>
      </c>
      <c r="AF129">
        <f t="shared" si="108"/>
        <v>0</v>
      </c>
      <c r="AG129">
        <f t="shared" si="93"/>
        <v>0</v>
      </c>
      <c r="AH129">
        <f t="shared" si="109"/>
        <v>0</v>
      </c>
      <c r="AI129">
        <f t="shared" si="109"/>
        <v>0</v>
      </c>
      <c r="AJ129">
        <f t="shared" si="94"/>
        <v>0</v>
      </c>
      <c r="AK129">
        <v>120.97</v>
      </c>
      <c r="AL129">
        <v>120.97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103</v>
      </c>
      <c r="AU129">
        <v>52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1.24</v>
      </c>
      <c r="BD129" t="s">
        <v>332</v>
      </c>
      <c r="BE129" t="s">
        <v>332</v>
      </c>
      <c r="BF129" t="s">
        <v>332</v>
      </c>
      <c r="BG129" t="s">
        <v>332</v>
      </c>
      <c r="BH129">
        <v>3</v>
      </c>
      <c r="BI129">
        <v>1</v>
      </c>
      <c r="BJ129" t="s">
        <v>538</v>
      </c>
      <c r="BM129">
        <v>65007</v>
      </c>
      <c r="BN129">
        <v>0</v>
      </c>
      <c r="BO129" t="s">
        <v>536</v>
      </c>
      <c r="BP129">
        <v>1</v>
      </c>
      <c r="BQ129">
        <v>6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332</v>
      </c>
      <c r="BZ129">
        <v>103</v>
      </c>
      <c r="CA129">
        <v>52</v>
      </c>
      <c r="CB129" t="s">
        <v>332</v>
      </c>
      <c r="CE129">
        <v>0</v>
      </c>
      <c r="CF129">
        <v>0</v>
      </c>
      <c r="CG129">
        <v>0</v>
      </c>
      <c r="CM129">
        <v>0</v>
      </c>
      <c r="CN129" t="s">
        <v>332</v>
      </c>
      <c r="CO129">
        <v>0</v>
      </c>
      <c r="CP129">
        <f t="shared" si="95"/>
        <v>300</v>
      </c>
      <c r="CQ129">
        <f>ROUND(AL129*BC129,2)</f>
        <v>150</v>
      </c>
      <c r="CR129">
        <f>ROUND(AM129*BB129,2)</f>
        <v>0</v>
      </c>
      <c r="CS129">
        <f>ROUND(AN129*BS129,2)</f>
        <v>0</v>
      </c>
      <c r="CT129">
        <f>ROUND(AO129*BA129,2)</f>
        <v>0</v>
      </c>
      <c r="CU129">
        <f t="shared" si="96"/>
        <v>0</v>
      </c>
      <c r="CV129">
        <f t="shared" si="110"/>
        <v>0</v>
      </c>
      <c r="CW129">
        <f t="shared" si="110"/>
        <v>0</v>
      </c>
      <c r="CX129">
        <f t="shared" si="97"/>
        <v>0</v>
      </c>
      <c r="CY129">
        <f t="shared" si="98"/>
        <v>0</v>
      </c>
      <c r="CZ129">
        <f t="shared" si="99"/>
        <v>0</v>
      </c>
      <c r="DC129" t="s">
        <v>332</v>
      </c>
      <c r="DD129" t="s">
        <v>332</v>
      </c>
      <c r="DE129" t="s">
        <v>332</v>
      </c>
      <c r="DF129" t="s">
        <v>332</v>
      </c>
      <c r="DG129" t="s">
        <v>332</v>
      </c>
      <c r="DH129" t="s">
        <v>332</v>
      </c>
      <c r="DI129" t="s">
        <v>332</v>
      </c>
      <c r="DJ129" t="s">
        <v>332</v>
      </c>
      <c r="DK129" t="s">
        <v>332</v>
      </c>
      <c r="DL129" t="s">
        <v>332</v>
      </c>
      <c r="DM129" t="s">
        <v>332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366</v>
      </c>
      <c r="DW129" t="s">
        <v>366</v>
      </c>
      <c r="DX129">
        <v>1</v>
      </c>
      <c r="DZ129" t="s">
        <v>332</v>
      </c>
      <c r="EA129" t="s">
        <v>332</v>
      </c>
      <c r="EB129" t="s">
        <v>332</v>
      </c>
      <c r="EC129" t="s">
        <v>332</v>
      </c>
      <c r="EE129">
        <v>77313190</v>
      </c>
      <c r="EF129">
        <v>6</v>
      </c>
      <c r="EG129" t="s">
        <v>349</v>
      </c>
      <c r="EH129">
        <v>99</v>
      </c>
      <c r="EI129" t="s">
        <v>360</v>
      </c>
      <c r="EJ129">
        <v>1</v>
      </c>
      <c r="EK129">
        <v>65007</v>
      </c>
      <c r="EL129" t="s">
        <v>361</v>
      </c>
      <c r="EM129" t="s">
        <v>362</v>
      </c>
      <c r="EO129" t="s">
        <v>332</v>
      </c>
      <c r="EQ129">
        <v>0</v>
      </c>
      <c r="ER129">
        <v>120.97</v>
      </c>
      <c r="ES129">
        <v>120.97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v>0</v>
      </c>
      <c r="FS129">
        <v>0</v>
      </c>
      <c r="FX129">
        <v>103</v>
      </c>
      <c r="FY129">
        <v>52</v>
      </c>
      <c r="GA129" t="s">
        <v>332</v>
      </c>
      <c r="GD129">
        <v>1</v>
      </c>
      <c r="GF129">
        <v>702153022</v>
      </c>
      <c r="GG129">
        <v>2</v>
      </c>
      <c r="GH129">
        <v>1</v>
      </c>
      <c r="GI129">
        <v>2</v>
      </c>
      <c r="GJ129">
        <v>0</v>
      </c>
      <c r="GK129">
        <v>0</v>
      </c>
      <c r="GL129">
        <f t="shared" si="100"/>
        <v>0</v>
      </c>
      <c r="GM129">
        <f t="shared" si="101"/>
        <v>300</v>
      </c>
      <c r="GN129">
        <f t="shared" si="102"/>
        <v>300</v>
      </c>
      <c r="GO129">
        <f t="shared" si="103"/>
        <v>0</v>
      </c>
      <c r="GP129">
        <f t="shared" si="104"/>
        <v>0</v>
      </c>
      <c r="GR129">
        <v>0</v>
      </c>
      <c r="GS129">
        <v>3</v>
      </c>
      <c r="GT129">
        <v>0</v>
      </c>
      <c r="GU129" t="s">
        <v>332</v>
      </c>
      <c r="GV129">
        <f t="shared" si="105"/>
        <v>0</v>
      </c>
      <c r="GW129">
        <v>1</v>
      </c>
      <c r="GX129">
        <f t="shared" si="106"/>
        <v>0</v>
      </c>
      <c r="HA129">
        <v>0</v>
      </c>
      <c r="HB129">
        <v>0</v>
      </c>
      <c r="HC129">
        <f t="shared" si="107"/>
        <v>0</v>
      </c>
      <c r="HE129" t="s">
        <v>332</v>
      </c>
      <c r="HF129" t="s">
        <v>332</v>
      </c>
      <c r="HM129" t="s">
        <v>332</v>
      </c>
      <c r="HN129" t="s">
        <v>90</v>
      </c>
      <c r="HO129" t="s">
        <v>92</v>
      </c>
      <c r="HP129" t="s">
        <v>361</v>
      </c>
      <c r="HQ129" t="s">
        <v>361</v>
      </c>
      <c r="HS129">
        <v>0</v>
      </c>
      <c r="IK129">
        <v>0</v>
      </c>
    </row>
    <row r="130" spans="1:245" x14ac:dyDescent="0.25">
      <c r="A130">
        <v>18</v>
      </c>
      <c r="B130">
        <v>1</v>
      </c>
      <c r="C130">
        <v>123</v>
      </c>
      <c r="E130" t="s">
        <v>539</v>
      </c>
      <c r="F130" t="s">
        <v>540</v>
      </c>
      <c r="G130" t="s">
        <v>541</v>
      </c>
      <c r="H130" t="s">
        <v>366</v>
      </c>
      <c r="I130">
        <f>I127*J130</f>
        <v>1</v>
      </c>
      <c r="J130">
        <v>50</v>
      </c>
      <c r="K130">
        <v>50</v>
      </c>
      <c r="O130">
        <f t="shared" si="87"/>
        <v>293.27</v>
      </c>
      <c r="P130">
        <f>ROUND(CQ130*I130,2)</f>
        <v>293.27</v>
      </c>
      <c r="Q130">
        <f>ROUND(CR130*I130,2)</f>
        <v>0</v>
      </c>
      <c r="R130">
        <f>ROUND(CS130*I130,2)</f>
        <v>0</v>
      </c>
      <c r="S130">
        <f>ROUND(CT130*I130,2)</f>
        <v>0</v>
      </c>
      <c r="T130">
        <f t="shared" si="88"/>
        <v>0</v>
      </c>
      <c r="U130">
        <f>ROUND(CV130*I130,7)</f>
        <v>0</v>
      </c>
      <c r="V130">
        <f>ROUND(CW130*I130,7)</f>
        <v>0</v>
      </c>
      <c r="W130">
        <f t="shared" si="89"/>
        <v>0</v>
      </c>
      <c r="X130">
        <f t="shared" si="90"/>
        <v>0</v>
      </c>
      <c r="Y130">
        <f t="shared" si="91"/>
        <v>0</v>
      </c>
      <c r="AA130">
        <v>78397139</v>
      </c>
      <c r="AB130">
        <f t="shared" si="92"/>
        <v>293.27</v>
      </c>
      <c r="AC130">
        <f>ROUND((ES130),6)</f>
        <v>293.27</v>
      </c>
      <c r="AD130">
        <f>ROUND((((ET130)-(EU130))+AE130),6)</f>
        <v>0</v>
      </c>
      <c r="AE130">
        <f t="shared" si="108"/>
        <v>0</v>
      </c>
      <c r="AF130">
        <f t="shared" si="108"/>
        <v>0</v>
      </c>
      <c r="AG130">
        <f t="shared" si="93"/>
        <v>0</v>
      </c>
      <c r="AH130">
        <f t="shared" si="109"/>
        <v>0</v>
      </c>
      <c r="AI130">
        <f t="shared" si="109"/>
        <v>0</v>
      </c>
      <c r="AJ130">
        <f t="shared" si="94"/>
        <v>0</v>
      </c>
      <c r="AK130">
        <v>293.27</v>
      </c>
      <c r="AL130">
        <v>293.27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103</v>
      </c>
      <c r="AU130">
        <v>52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1</v>
      </c>
      <c r="BD130" t="s">
        <v>332</v>
      </c>
      <c r="BE130" t="s">
        <v>332</v>
      </c>
      <c r="BF130" t="s">
        <v>332</v>
      </c>
      <c r="BG130" t="s">
        <v>332</v>
      </c>
      <c r="BH130">
        <v>3</v>
      </c>
      <c r="BI130">
        <v>1</v>
      </c>
      <c r="BJ130" t="s">
        <v>542</v>
      </c>
      <c r="BM130">
        <v>65007</v>
      </c>
      <c r="BN130">
        <v>0</v>
      </c>
      <c r="BO130" t="s">
        <v>332</v>
      </c>
      <c r="BP130">
        <v>0</v>
      </c>
      <c r="BQ130">
        <v>6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332</v>
      </c>
      <c r="BZ130">
        <v>103</v>
      </c>
      <c r="CA130">
        <v>52</v>
      </c>
      <c r="CB130" t="s">
        <v>332</v>
      </c>
      <c r="CE130">
        <v>0</v>
      </c>
      <c r="CF130">
        <v>0</v>
      </c>
      <c r="CG130">
        <v>0</v>
      </c>
      <c r="CM130">
        <v>0</v>
      </c>
      <c r="CN130" t="s">
        <v>332</v>
      </c>
      <c r="CO130">
        <v>0</v>
      </c>
      <c r="CP130">
        <f t="shared" si="95"/>
        <v>293.27</v>
      </c>
      <c r="CQ130">
        <f>ROUND(AL130*BC130,2)</f>
        <v>293.27</v>
      </c>
      <c r="CR130">
        <f>ROUND(AM130*BB130,2)</f>
        <v>0</v>
      </c>
      <c r="CS130">
        <f>ROUND(AN130*BS130,2)</f>
        <v>0</v>
      </c>
      <c r="CT130">
        <f>ROUND(AO130*BA130,2)</f>
        <v>0</v>
      </c>
      <c r="CU130">
        <f t="shared" si="96"/>
        <v>0</v>
      </c>
      <c r="CV130">
        <f t="shared" si="110"/>
        <v>0</v>
      </c>
      <c r="CW130">
        <f t="shared" si="110"/>
        <v>0</v>
      </c>
      <c r="CX130">
        <f t="shared" si="97"/>
        <v>0</v>
      </c>
      <c r="CY130">
        <f t="shared" si="98"/>
        <v>0</v>
      </c>
      <c r="CZ130">
        <f t="shared" si="99"/>
        <v>0</v>
      </c>
      <c r="DC130" t="s">
        <v>332</v>
      </c>
      <c r="DD130" t="s">
        <v>332</v>
      </c>
      <c r="DE130" t="s">
        <v>332</v>
      </c>
      <c r="DF130" t="s">
        <v>332</v>
      </c>
      <c r="DG130" t="s">
        <v>332</v>
      </c>
      <c r="DH130" t="s">
        <v>332</v>
      </c>
      <c r="DI130" t="s">
        <v>332</v>
      </c>
      <c r="DJ130" t="s">
        <v>332</v>
      </c>
      <c r="DK130" t="s">
        <v>332</v>
      </c>
      <c r="DL130" t="s">
        <v>332</v>
      </c>
      <c r="DM130" t="s">
        <v>332</v>
      </c>
      <c r="DN130">
        <v>0</v>
      </c>
      <c r="DO130">
        <v>0</v>
      </c>
      <c r="DP130">
        <v>1</v>
      </c>
      <c r="DQ130">
        <v>1</v>
      </c>
      <c r="DU130">
        <v>1013</v>
      </c>
      <c r="DV130" t="s">
        <v>366</v>
      </c>
      <c r="DW130" t="s">
        <v>366</v>
      </c>
      <c r="DX130">
        <v>1</v>
      </c>
      <c r="DZ130" t="s">
        <v>332</v>
      </c>
      <c r="EA130" t="s">
        <v>332</v>
      </c>
      <c r="EB130" t="s">
        <v>332</v>
      </c>
      <c r="EC130" t="s">
        <v>332</v>
      </c>
      <c r="EE130">
        <v>77313190</v>
      </c>
      <c r="EF130">
        <v>6</v>
      </c>
      <c r="EG130" t="s">
        <v>349</v>
      </c>
      <c r="EH130">
        <v>99</v>
      </c>
      <c r="EI130" t="s">
        <v>360</v>
      </c>
      <c r="EJ130">
        <v>1</v>
      </c>
      <c r="EK130">
        <v>65007</v>
      </c>
      <c r="EL130" t="s">
        <v>361</v>
      </c>
      <c r="EM130" t="s">
        <v>362</v>
      </c>
      <c r="EO130" t="s">
        <v>332</v>
      </c>
      <c r="EQ130">
        <v>0</v>
      </c>
      <c r="ER130">
        <v>293.27</v>
      </c>
      <c r="ES130">
        <v>293.27</v>
      </c>
      <c r="ET130">
        <v>0</v>
      </c>
      <c r="EU130">
        <v>0</v>
      </c>
      <c r="EV130">
        <v>0</v>
      </c>
      <c r="EW130">
        <v>0</v>
      </c>
      <c r="EX130">
        <v>0</v>
      </c>
      <c r="FQ130">
        <v>0</v>
      </c>
      <c r="FR130">
        <v>0</v>
      </c>
      <c r="FS130">
        <v>0</v>
      </c>
      <c r="FX130">
        <v>103</v>
      </c>
      <c r="FY130">
        <v>52</v>
      </c>
      <c r="GA130" t="s">
        <v>332</v>
      </c>
      <c r="GD130">
        <v>1</v>
      </c>
      <c r="GE130">
        <v>277</v>
      </c>
      <c r="GF130">
        <v>608645330</v>
      </c>
      <c r="GG130">
        <v>2</v>
      </c>
      <c r="GH130">
        <v>1</v>
      </c>
      <c r="GI130">
        <v>-2</v>
      </c>
      <c r="GJ130">
        <v>0</v>
      </c>
      <c r="GK130">
        <v>0</v>
      </c>
      <c r="GL130">
        <f t="shared" si="100"/>
        <v>0</v>
      </c>
      <c r="GM130">
        <f t="shared" si="101"/>
        <v>293.27</v>
      </c>
      <c r="GN130">
        <f t="shared" si="102"/>
        <v>293.27</v>
      </c>
      <c r="GO130">
        <f t="shared" si="103"/>
        <v>0</v>
      </c>
      <c r="GP130">
        <f t="shared" si="104"/>
        <v>0</v>
      </c>
      <c r="GR130">
        <v>3</v>
      </c>
      <c r="GS130">
        <v>3</v>
      </c>
      <c r="GT130">
        <v>0</v>
      </c>
      <c r="GU130" t="s">
        <v>332</v>
      </c>
      <c r="GV130">
        <f t="shared" si="105"/>
        <v>0</v>
      </c>
      <c r="GW130">
        <v>1</v>
      </c>
      <c r="GX130">
        <f t="shared" si="106"/>
        <v>0</v>
      </c>
      <c r="HA130">
        <v>0</v>
      </c>
      <c r="HB130">
        <v>0</v>
      </c>
      <c r="HC130">
        <f t="shared" si="107"/>
        <v>0</v>
      </c>
      <c r="HE130" t="s">
        <v>332</v>
      </c>
      <c r="HF130" t="s">
        <v>332</v>
      </c>
      <c r="HM130" t="s">
        <v>332</v>
      </c>
      <c r="HN130" t="s">
        <v>90</v>
      </c>
      <c r="HO130" t="s">
        <v>92</v>
      </c>
      <c r="HP130" t="s">
        <v>361</v>
      </c>
      <c r="HQ130" t="s">
        <v>361</v>
      </c>
      <c r="HS130">
        <v>0</v>
      </c>
      <c r="IK130">
        <v>0</v>
      </c>
    </row>
    <row r="131" spans="1:245" x14ac:dyDescent="0.25">
      <c r="A131">
        <v>17</v>
      </c>
      <c r="B131">
        <v>1</v>
      </c>
      <c r="C131">
        <f>ROW(SmtRes!A132)</f>
        <v>132</v>
      </c>
      <c r="D131">
        <f>ROW(EtalonRes!A132)</f>
        <v>132</v>
      </c>
      <c r="E131" t="s">
        <v>287</v>
      </c>
      <c r="F131" t="s">
        <v>382</v>
      </c>
      <c r="G131" t="s">
        <v>383</v>
      </c>
      <c r="H131" t="s">
        <v>347</v>
      </c>
      <c r="I131">
        <f>ROUND(0.478/100,7)</f>
        <v>4.7800000000000004E-3</v>
      </c>
      <c r="J131">
        <v>0</v>
      </c>
      <c r="K131">
        <f>ROUND(0.478/100,7)</f>
        <v>4.7800000000000004E-3</v>
      </c>
      <c r="O131">
        <f t="shared" si="87"/>
        <v>55.45</v>
      </c>
      <c r="P131">
        <f>SUMIF(SmtRes!AQ125:'SmtRes'!AQ132,"=1",SmtRes!DF125:'SmtRes'!DF132)</f>
        <v>8.35</v>
      </c>
      <c r="Q131">
        <f>SUMIF(SmtRes!AQ125:'SmtRes'!AQ132,"=1",SmtRes!DG125:'SmtRes'!DG132)</f>
        <v>0.35000000000000003</v>
      </c>
      <c r="R131">
        <f>SUMIF(SmtRes!AQ125:'SmtRes'!AQ132,"=1",SmtRes!DH125:'SmtRes'!DH132)</f>
        <v>0.19</v>
      </c>
      <c r="S131">
        <f>SUMIF(SmtRes!AQ125:'SmtRes'!AQ132,"=1",SmtRes!DI125:'SmtRes'!DI132)</f>
        <v>46.56</v>
      </c>
      <c r="T131">
        <f t="shared" si="88"/>
        <v>0</v>
      </c>
      <c r="U131">
        <f>SUMIF(SmtRes!AQ125:'SmtRes'!AQ132,"=1",SmtRes!CV125:'SmtRes'!CV132)</f>
        <v>5.8378100000000002E-2</v>
      </c>
      <c r="V131">
        <f>SUMIF(SmtRes!AQ125:'SmtRes'!AQ132,"=1",SmtRes!CW125:'SmtRes'!CW132)</f>
        <v>2.3900000000000001E-4</v>
      </c>
      <c r="W131">
        <f t="shared" si="89"/>
        <v>0</v>
      </c>
      <c r="X131">
        <f t="shared" si="90"/>
        <v>39.549999999999997</v>
      </c>
      <c r="Y131">
        <f t="shared" si="91"/>
        <v>20.27</v>
      </c>
      <c r="AA131">
        <v>78397139</v>
      </c>
      <c r="AB131">
        <f t="shared" si="92"/>
        <v>10959.06933</v>
      </c>
      <c r="AC131">
        <f>ROUND((SUM(SmtRes!BQ125:'SmtRes'!BQ132)),6)</f>
        <v>1150.6995899999999</v>
      </c>
      <c r="AD131">
        <f>ROUND((((SUM(SmtRes!BR125:'SmtRes'!BR132))-(SUM(SmtRes!BS125:'SmtRes'!BS132)))+AE131),6)</f>
        <v>68.746499999999997</v>
      </c>
      <c r="AE131">
        <f>ROUND((SUM(SmtRes!BS125:'SmtRes'!BS132)),6)</f>
        <v>38.796500000000002</v>
      </c>
      <c r="AF131">
        <f>ROUND((SUM(SmtRes!BT125:'SmtRes'!BT132)),6)</f>
        <v>9739.6232400000008</v>
      </c>
      <c r="AG131">
        <f t="shared" si="93"/>
        <v>0</v>
      </c>
      <c r="AH131">
        <f>(SUM(SmtRes!BU125:'SmtRes'!BU132))</f>
        <v>12.212999999999999</v>
      </c>
      <c r="AI131">
        <f>(SUM(SmtRes!BV125:'SmtRes'!BV132))</f>
        <v>0.05</v>
      </c>
      <c r="AJ131">
        <f t="shared" si="94"/>
        <v>0</v>
      </c>
      <c r="AK131">
        <v>4852.9857949999996</v>
      </c>
      <c r="AL131">
        <v>575.34979499999997</v>
      </c>
      <c r="AM131">
        <v>27.4986</v>
      </c>
      <c r="AN131">
        <v>15.518599999999999</v>
      </c>
      <c r="AO131">
        <v>4234.6188000000002</v>
      </c>
      <c r="AP131">
        <v>0</v>
      </c>
      <c r="AQ131">
        <v>5.31</v>
      </c>
      <c r="AR131">
        <v>0.02</v>
      </c>
      <c r="AS131">
        <v>0</v>
      </c>
      <c r="AT131">
        <v>84.6</v>
      </c>
      <c r="AU131">
        <v>43.35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332</v>
      </c>
      <c r="BE131" t="s">
        <v>332</v>
      </c>
      <c r="BF131" t="s">
        <v>332</v>
      </c>
      <c r="BG131" t="s">
        <v>332</v>
      </c>
      <c r="BH131">
        <v>0</v>
      </c>
      <c r="BI131">
        <v>1</v>
      </c>
      <c r="BJ131" t="s">
        <v>384</v>
      </c>
      <c r="BM131">
        <v>13001</v>
      </c>
      <c r="BN131">
        <v>0</v>
      </c>
      <c r="BO131" t="s">
        <v>332</v>
      </c>
      <c r="BP131">
        <v>0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332</v>
      </c>
      <c r="BZ131">
        <v>94</v>
      </c>
      <c r="CA131">
        <v>51</v>
      </c>
      <c r="CB131" t="s">
        <v>332</v>
      </c>
      <c r="CE131">
        <v>0</v>
      </c>
      <c r="CF131">
        <v>0</v>
      </c>
      <c r="CG131">
        <v>0</v>
      </c>
      <c r="CM131">
        <v>0</v>
      </c>
      <c r="CN131" t="s">
        <v>385</v>
      </c>
      <c r="CO131">
        <v>0</v>
      </c>
      <c r="CP131">
        <f t="shared" si="95"/>
        <v>55.45</v>
      </c>
      <c r="CQ131">
        <f>SUMIF(SmtRes!AQ125:'SmtRes'!AQ132,"=1",SmtRes!AA125:'SmtRes'!AA132)</f>
        <v>188246.74</v>
      </c>
      <c r="CR131">
        <f>SUMIF(SmtRes!AQ125:'SmtRes'!AQ132,"=1",SmtRes!AB125:'SmtRes'!AB132)</f>
        <v>2252.63</v>
      </c>
      <c r="CS131">
        <f>SUMIF(SmtRes!AQ125:'SmtRes'!AQ132,"=1",SmtRes!AC125:'SmtRes'!AC132)</f>
        <v>1551.86</v>
      </c>
      <c r="CT131">
        <f>SUMIF(SmtRes!AQ125:'SmtRes'!AQ132,"=1",SmtRes!AD125:'SmtRes'!AD132)</f>
        <v>797.48</v>
      </c>
      <c r="CU131">
        <f t="shared" si="96"/>
        <v>0</v>
      </c>
      <c r="CV131">
        <f>SUMIF(SmtRes!AQ125:'SmtRes'!AQ132,"=1",SmtRes!BU125:'SmtRes'!BU132)</f>
        <v>12.212999999999999</v>
      </c>
      <c r="CW131">
        <f>SUMIF(SmtRes!AQ125:'SmtRes'!AQ132,"=1",SmtRes!BV125:'SmtRes'!BV132)</f>
        <v>0.05</v>
      </c>
      <c r="CX131">
        <f t="shared" si="97"/>
        <v>0</v>
      </c>
      <c r="CY131">
        <f t="shared" si="98"/>
        <v>39.5505</v>
      </c>
      <c r="CZ131">
        <f t="shared" si="99"/>
        <v>20.266124999999999</v>
      </c>
      <c r="DC131" t="s">
        <v>332</v>
      </c>
      <c r="DD131" t="s">
        <v>386</v>
      </c>
      <c r="DE131" t="s">
        <v>387</v>
      </c>
      <c r="DF131" t="s">
        <v>387</v>
      </c>
      <c r="DG131" t="s">
        <v>388</v>
      </c>
      <c r="DH131" t="s">
        <v>332</v>
      </c>
      <c r="DI131" t="s">
        <v>388</v>
      </c>
      <c r="DJ131" t="s">
        <v>387</v>
      </c>
      <c r="DK131" t="s">
        <v>332</v>
      </c>
      <c r="DL131" t="s">
        <v>389</v>
      </c>
      <c r="DM131" t="s">
        <v>390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347</v>
      </c>
      <c r="DW131" t="s">
        <v>347</v>
      </c>
      <c r="DX131">
        <v>100</v>
      </c>
      <c r="DZ131" t="s">
        <v>332</v>
      </c>
      <c r="EA131" t="s">
        <v>332</v>
      </c>
      <c r="EB131" t="s">
        <v>332</v>
      </c>
      <c r="EC131" t="s">
        <v>332</v>
      </c>
      <c r="EE131">
        <v>77313095</v>
      </c>
      <c r="EF131">
        <v>2</v>
      </c>
      <c r="EG131" t="s">
        <v>391</v>
      </c>
      <c r="EH131">
        <v>13</v>
      </c>
      <c r="EI131" t="s">
        <v>392</v>
      </c>
      <c r="EJ131">
        <v>1</v>
      </c>
      <c r="EK131">
        <v>13001</v>
      </c>
      <c r="EL131" t="s">
        <v>393</v>
      </c>
      <c r="EM131" t="s">
        <v>394</v>
      </c>
      <c r="EO131" t="s">
        <v>395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5.31</v>
      </c>
      <c r="EX131">
        <v>0.02</v>
      </c>
      <c r="EY131">
        <v>0</v>
      </c>
      <c r="FQ131">
        <v>0</v>
      </c>
      <c r="FR131">
        <v>0</v>
      </c>
      <c r="FS131">
        <v>0</v>
      </c>
      <c r="FX131">
        <v>84.6</v>
      </c>
      <c r="FY131">
        <v>43.35</v>
      </c>
      <c r="GA131" t="s">
        <v>332</v>
      </c>
      <c r="GD131">
        <v>1</v>
      </c>
      <c r="GF131">
        <v>1741978867</v>
      </c>
      <c r="GG131">
        <v>2</v>
      </c>
      <c r="GH131">
        <v>1</v>
      </c>
      <c r="GI131">
        <v>-2</v>
      </c>
      <c r="GJ131">
        <v>0</v>
      </c>
      <c r="GK131">
        <v>0</v>
      </c>
      <c r="GL131">
        <f t="shared" si="100"/>
        <v>0</v>
      </c>
      <c r="GM131">
        <f t="shared" si="101"/>
        <v>115.27</v>
      </c>
      <c r="GN131">
        <f t="shared" si="102"/>
        <v>115.27</v>
      </c>
      <c r="GO131">
        <f t="shared" si="103"/>
        <v>0</v>
      </c>
      <c r="GP131">
        <f t="shared" si="104"/>
        <v>0</v>
      </c>
      <c r="GR131">
        <v>0</v>
      </c>
      <c r="GS131">
        <v>3</v>
      </c>
      <c r="GT131">
        <v>0</v>
      </c>
      <c r="GU131" t="s">
        <v>332</v>
      </c>
      <c r="GV131">
        <f t="shared" si="105"/>
        <v>0</v>
      </c>
      <c r="GW131">
        <v>1</v>
      </c>
      <c r="GX131">
        <f t="shared" si="106"/>
        <v>0</v>
      </c>
      <c r="HA131">
        <v>0</v>
      </c>
      <c r="HB131">
        <v>0</v>
      </c>
      <c r="HC131">
        <f t="shared" si="107"/>
        <v>0</v>
      </c>
      <c r="HE131" t="s">
        <v>332</v>
      </c>
      <c r="HF131" t="s">
        <v>332</v>
      </c>
      <c r="HM131" t="s">
        <v>332</v>
      </c>
      <c r="HN131" t="s">
        <v>396</v>
      </c>
      <c r="HO131" t="s">
        <v>397</v>
      </c>
      <c r="HP131" t="s">
        <v>392</v>
      </c>
      <c r="HQ131" t="s">
        <v>392</v>
      </c>
      <c r="HS131">
        <v>0</v>
      </c>
      <c r="IK131">
        <v>0</v>
      </c>
    </row>
    <row r="132" spans="1:245" x14ac:dyDescent="0.25">
      <c r="A132">
        <v>17</v>
      </c>
      <c r="B132">
        <v>1</v>
      </c>
      <c r="C132">
        <f>ROW(SmtRes!A139)</f>
        <v>139</v>
      </c>
      <c r="D132">
        <f>ROW(EtalonRes!A139)</f>
        <v>139</v>
      </c>
      <c r="E132" t="s">
        <v>288</v>
      </c>
      <c r="F132" t="s">
        <v>398</v>
      </c>
      <c r="G132" t="s">
        <v>399</v>
      </c>
      <c r="H132" t="s">
        <v>347</v>
      </c>
      <c r="I132">
        <f>ROUND(0.478/100,7)</f>
        <v>4.7800000000000004E-3</v>
      </c>
      <c r="J132">
        <v>0</v>
      </c>
      <c r="K132">
        <f>ROUND(0.478/100,7)</f>
        <v>4.7800000000000004E-3</v>
      </c>
      <c r="O132">
        <f t="shared" si="87"/>
        <v>238.78</v>
      </c>
      <c r="P132">
        <f>SUMIF(SmtRes!AQ133:'SmtRes'!AQ139,"=1",SmtRes!DF133:'SmtRes'!DF139)</f>
        <v>2.1800000000000002</v>
      </c>
      <c r="Q132">
        <f>SUMIF(SmtRes!AQ133:'SmtRes'!AQ139,"=1",SmtRes!DG133:'SmtRes'!DG139)</f>
        <v>0.12</v>
      </c>
      <c r="R132">
        <f>SUMIF(SmtRes!AQ133:'SmtRes'!AQ139,"=1",SmtRes!DH133:'SmtRes'!DH139)</f>
        <v>0.17</v>
      </c>
      <c r="S132">
        <f>SUMIF(SmtRes!AQ133:'SmtRes'!AQ139,"=1",SmtRes!DI133:'SmtRes'!DI139)</f>
        <v>236.31</v>
      </c>
      <c r="T132">
        <f t="shared" si="88"/>
        <v>0</v>
      </c>
      <c r="U132">
        <f>SUMIF(SmtRes!AQ133:'SmtRes'!AQ139,"=1",SmtRes!CV133:'SmtRes'!CV139)</f>
        <v>0.35510619999999998</v>
      </c>
      <c r="V132">
        <f>SUMIF(SmtRes!AQ133:'SmtRes'!AQ139,"=1",SmtRes!CW133:'SmtRes'!CW139)</f>
        <v>2.3909999999999998E-4</v>
      </c>
      <c r="W132">
        <f t="shared" si="89"/>
        <v>0</v>
      </c>
      <c r="X132">
        <f t="shared" si="90"/>
        <v>212.83</v>
      </c>
      <c r="Y132">
        <f t="shared" si="91"/>
        <v>98.49</v>
      </c>
      <c r="AA132">
        <v>78397139</v>
      </c>
      <c r="AB132">
        <f t="shared" si="92"/>
        <v>49839.126174999998</v>
      </c>
      <c r="AC132">
        <f>ROUND((SUM(SmtRes!BQ133:'SmtRes'!BQ139)),6)</f>
        <v>376.77</v>
      </c>
      <c r="AD132">
        <f>ROUND((((SUM(SmtRes!BR133:'SmtRes'!BR139))-(SUM(SmtRes!BS133:'SmtRes'!BS139)))+AE132),6)</f>
        <v>24.589874999999999</v>
      </c>
      <c r="AE132">
        <f>ROUND((SUM(SmtRes!BS133:'SmtRes'!BS139)),6)</f>
        <v>35.092125000000003</v>
      </c>
      <c r="AF132">
        <f>ROUND((SUM(SmtRes!BT133:'SmtRes'!BT139)),6)</f>
        <v>49437.766300000003</v>
      </c>
      <c r="AG132">
        <f t="shared" si="93"/>
        <v>0</v>
      </c>
      <c r="AH132">
        <f>(SUM(SmtRes!BU133:'SmtRes'!BU139))</f>
        <v>74.290000000000006</v>
      </c>
      <c r="AI132">
        <f>(SUM(SmtRes!BV133:'SmtRes'!BV139))</f>
        <v>0.05</v>
      </c>
      <c r="AJ132">
        <f t="shared" si="94"/>
        <v>0</v>
      </c>
      <c r="AK132">
        <v>43413.8776</v>
      </c>
      <c r="AL132">
        <v>376.77</v>
      </c>
      <c r="AM132">
        <v>19.671900000000001</v>
      </c>
      <c r="AN132">
        <v>28.073699999999999</v>
      </c>
      <c r="AO132">
        <v>42989.362000000001</v>
      </c>
      <c r="AP132">
        <v>0</v>
      </c>
      <c r="AQ132">
        <v>64.599999999999994</v>
      </c>
      <c r="AR132">
        <v>0.04</v>
      </c>
      <c r="AS132">
        <v>0</v>
      </c>
      <c r="AT132">
        <v>90</v>
      </c>
      <c r="AU132">
        <v>41.65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v>1</v>
      </c>
      <c r="BD132" t="s">
        <v>332</v>
      </c>
      <c r="BE132" t="s">
        <v>332</v>
      </c>
      <c r="BF132" t="s">
        <v>332</v>
      </c>
      <c r="BG132" t="s">
        <v>332</v>
      </c>
      <c r="BH132">
        <v>0</v>
      </c>
      <c r="BI132">
        <v>1</v>
      </c>
      <c r="BJ132" t="s">
        <v>400</v>
      </c>
      <c r="BM132">
        <v>15001</v>
      </c>
      <c r="BN132">
        <v>0</v>
      </c>
      <c r="BO132" t="s">
        <v>332</v>
      </c>
      <c r="BP132">
        <v>0</v>
      </c>
      <c r="BQ132">
        <v>2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332</v>
      </c>
      <c r="BZ132">
        <v>100</v>
      </c>
      <c r="CA132">
        <v>49</v>
      </c>
      <c r="CB132" t="s">
        <v>332</v>
      </c>
      <c r="CE132">
        <v>0</v>
      </c>
      <c r="CF132">
        <v>0</v>
      </c>
      <c r="CG132">
        <v>0</v>
      </c>
      <c r="CM132">
        <v>0</v>
      </c>
      <c r="CN132" t="s">
        <v>385</v>
      </c>
      <c r="CO132">
        <v>0</v>
      </c>
      <c r="CP132">
        <f t="shared" si="95"/>
        <v>238.78</v>
      </c>
      <c r="CQ132">
        <f>SUMIF(SmtRes!AQ133:'SmtRes'!AQ139,"=1",SmtRes!AA133:'SmtRes'!AA139)</f>
        <v>246.38</v>
      </c>
      <c r="CR132">
        <f>SUMIF(SmtRes!AQ133:'SmtRes'!AQ139,"=1",SmtRes!AB133:'SmtRes'!AB139)</f>
        <v>700.76</v>
      </c>
      <c r="CS132">
        <f>SUMIF(SmtRes!AQ133:'SmtRes'!AQ139,"=1",SmtRes!AC133:'SmtRes'!AC139)</f>
        <v>1363.27</v>
      </c>
      <c r="CT132">
        <f>SUMIF(SmtRes!AQ133:'SmtRes'!AQ139,"=1",SmtRes!AD133:'SmtRes'!AD139)</f>
        <v>665.47</v>
      </c>
      <c r="CU132">
        <f t="shared" si="96"/>
        <v>0</v>
      </c>
      <c r="CV132">
        <f>SUMIF(SmtRes!AQ133:'SmtRes'!AQ139,"=1",SmtRes!BU133:'SmtRes'!BU139)</f>
        <v>74.290000000000006</v>
      </c>
      <c r="CW132">
        <f>SUMIF(SmtRes!AQ133:'SmtRes'!AQ139,"=1",SmtRes!BV133:'SmtRes'!BV139)</f>
        <v>0.05</v>
      </c>
      <c r="CX132">
        <f t="shared" si="97"/>
        <v>0</v>
      </c>
      <c r="CY132">
        <f t="shared" si="98"/>
        <v>212.83199999999999</v>
      </c>
      <c r="CZ132">
        <f t="shared" si="99"/>
        <v>98.493920000000003</v>
      </c>
      <c r="DB132">
        <v>6</v>
      </c>
      <c r="DC132" t="s">
        <v>332</v>
      </c>
      <c r="DD132" t="s">
        <v>332</v>
      </c>
      <c r="DE132" t="s">
        <v>401</v>
      </c>
      <c r="DF132" t="s">
        <v>401</v>
      </c>
      <c r="DG132" t="s">
        <v>402</v>
      </c>
      <c r="DH132" t="s">
        <v>332</v>
      </c>
      <c r="DI132" t="s">
        <v>402</v>
      </c>
      <c r="DJ132" t="s">
        <v>401</v>
      </c>
      <c r="DK132" t="s">
        <v>332</v>
      </c>
      <c r="DL132" t="s">
        <v>389</v>
      </c>
      <c r="DM132" t="s">
        <v>390</v>
      </c>
      <c r="DN132">
        <v>0</v>
      </c>
      <c r="DO132">
        <v>0</v>
      </c>
      <c r="DP132">
        <v>1</v>
      </c>
      <c r="DQ132">
        <v>1</v>
      </c>
      <c r="DU132">
        <v>1005</v>
      </c>
      <c r="DV132" t="s">
        <v>347</v>
      </c>
      <c r="DW132" t="s">
        <v>347</v>
      </c>
      <c r="DX132">
        <v>100</v>
      </c>
      <c r="DZ132" t="s">
        <v>332</v>
      </c>
      <c r="EA132" t="s">
        <v>332</v>
      </c>
      <c r="EB132" t="s">
        <v>332</v>
      </c>
      <c r="EC132" t="s">
        <v>332</v>
      </c>
      <c r="EE132">
        <v>77313118</v>
      </c>
      <c r="EF132">
        <v>2</v>
      </c>
      <c r="EG132" t="s">
        <v>391</v>
      </c>
      <c r="EH132">
        <v>15</v>
      </c>
      <c r="EI132" t="s">
        <v>403</v>
      </c>
      <c r="EJ132">
        <v>1</v>
      </c>
      <c r="EK132">
        <v>15001</v>
      </c>
      <c r="EL132" t="s">
        <v>403</v>
      </c>
      <c r="EM132" t="s">
        <v>404</v>
      </c>
      <c r="EO132" t="s">
        <v>395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64.599999999999994</v>
      </c>
      <c r="EX132">
        <v>0.04</v>
      </c>
      <c r="EY132">
        <v>0</v>
      </c>
      <c r="FQ132">
        <v>0</v>
      </c>
      <c r="FR132">
        <v>0</v>
      </c>
      <c r="FS132">
        <v>0</v>
      </c>
      <c r="FX132">
        <v>90</v>
      </c>
      <c r="FY132">
        <v>41.65</v>
      </c>
      <c r="GA132" t="s">
        <v>332</v>
      </c>
      <c r="GD132">
        <v>1</v>
      </c>
      <c r="GF132">
        <v>-581814919</v>
      </c>
      <c r="GG132">
        <v>2</v>
      </c>
      <c r="GH132">
        <v>1</v>
      </c>
      <c r="GI132">
        <v>-2</v>
      </c>
      <c r="GJ132">
        <v>0</v>
      </c>
      <c r="GK132">
        <v>0</v>
      </c>
      <c r="GL132">
        <f t="shared" si="100"/>
        <v>0</v>
      </c>
      <c r="GM132">
        <f t="shared" si="101"/>
        <v>550.1</v>
      </c>
      <c r="GN132">
        <f t="shared" si="102"/>
        <v>550.1</v>
      </c>
      <c r="GO132">
        <f t="shared" si="103"/>
        <v>0</v>
      </c>
      <c r="GP132">
        <f t="shared" si="104"/>
        <v>0</v>
      </c>
      <c r="GR132">
        <v>0</v>
      </c>
      <c r="GS132">
        <v>3</v>
      </c>
      <c r="GT132">
        <v>0</v>
      </c>
      <c r="GU132" t="s">
        <v>332</v>
      </c>
      <c r="GV132">
        <f t="shared" si="105"/>
        <v>0</v>
      </c>
      <c r="GW132">
        <v>1</v>
      </c>
      <c r="GX132">
        <f t="shared" si="106"/>
        <v>0</v>
      </c>
      <c r="HA132">
        <v>0</v>
      </c>
      <c r="HB132">
        <v>0</v>
      </c>
      <c r="HC132">
        <f t="shared" si="107"/>
        <v>0</v>
      </c>
      <c r="HE132" t="s">
        <v>332</v>
      </c>
      <c r="HF132" t="s">
        <v>332</v>
      </c>
      <c r="HM132" t="s">
        <v>332</v>
      </c>
      <c r="HN132" t="s">
        <v>405</v>
      </c>
      <c r="HO132" t="s">
        <v>406</v>
      </c>
      <c r="HP132" t="s">
        <v>403</v>
      </c>
      <c r="HQ132" t="s">
        <v>403</v>
      </c>
      <c r="HS132">
        <v>0</v>
      </c>
      <c r="IK132">
        <v>0</v>
      </c>
    </row>
    <row r="133" spans="1:245" x14ac:dyDescent="0.25">
      <c r="A133">
        <v>18</v>
      </c>
      <c r="B133">
        <v>1</v>
      </c>
      <c r="C133">
        <v>138</v>
      </c>
      <c r="E133" t="s">
        <v>543</v>
      </c>
      <c r="F133" t="s">
        <v>408</v>
      </c>
      <c r="G133" t="s">
        <v>409</v>
      </c>
      <c r="H133" t="s">
        <v>87</v>
      </c>
      <c r="I133">
        <f>I132*J133</f>
        <v>1.175999999999998E-4</v>
      </c>
      <c r="J133">
        <v>2.4602510460251002E-2</v>
      </c>
      <c r="K133">
        <v>2.46E-2</v>
      </c>
      <c r="O133">
        <f t="shared" si="87"/>
        <v>10.18</v>
      </c>
      <c r="P133">
        <f>ROUND(CQ133*I133,2)</f>
        <v>10.18</v>
      </c>
      <c r="Q133">
        <f>ROUND(CR133*I133,2)</f>
        <v>0</v>
      </c>
      <c r="R133">
        <f>ROUND(CS133*I133,2)</f>
        <v>0</v>
      </c>
      <c r="S133">
        <f>ROUND(CT133*I133,2)</f>
        <v>0</v>
      </c>
      <c r="T133">
        <f t="shared" si="88"/>
        <v>0</v>
      </c>
      <c r="U133">
        <f>ROUND(CV133*I133,7)</f>
        <v>0</v>
      </c>
      <c r="V133">
        <f>ROUND(CW133*I133,7)</f>
        <v>0</v>
      </c>
      <c r="W133">
        <f t="shared" si="89"/>
        <v>0</v>
      </c>
      <c r="X133">
        <f t="shared" si="90"/>
        <v>0</v>
      </c>
      <c r="Y133">
        <f t="shared" si="91"/>
        <v>0</v>
      </c>
      <c r="AA133">
        <v>78397139</v>
      </c>
      <c r="AB133">
        <f t="shared" si="92"/>
        <v>61813.88</v>
      </c>
      <c r="AC133">
        <f>ROUND((ES133),6)</f>
        <v>61813.88</v>
      </c>
      <c r="AD133">
        <f>ROUND((((ET133)-(EU133))+AE133),6)</f>
        <v>0</v>
      </c>
      <c r="AE133">
        <f>ROUND((EU133),6)</f>
        <v>0</v>
      </c>
      <c r="AF133">
        <f>ROUND((EV133),6)</f>
        <v>0</v>
      </c>
      <c r="AG133">
        <f t="shared" si="93"/>
        <v>0</v>
      </c>
      <c r="AH133">
        <f>(EW133)</f>
        <v>0</v>
      </c>
      <c r="AI133">
        <f>(EX133)</f>
        <v>0</v>
      </c>
      <c r="AJ133">
        <f t="shared" si="94"/>
        <v>0</v>
      </c>
      <c r="AK133">
        <v>61813.88</v>
      </c>
      <c r="AL133">
        <v>61813.88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100</v>
      </c>
      <c r="AU133">
        <v>49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1.4</v>
      </c>
      <c r="BD133" t="s">
        <v>332</v>
      </c>
      <c r="BE133" t="s">
        <v>332</v>
      </c>
      <c r="BF133" t="s">
        <v>332</v>
      </c>
      <c r="BG133" t="s">
        <v>332</v>
      </c>
      <c r="BH133">
        <v>3</v>
      </c>
      <c r="BI133">
        <v>1</v>
      </c>
      <c r="BJ133" t="s">
        <v>410</v>
      </c>
      <c r="BM133">
        <v>15001</v>
      </c>
      <c r="BN133">
        <v>0</v>
      </c>
      <c r="BO133" t="s">
        <v>408</v>
      </c>
      <c r="BP133">
        <v>1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332</v>
      </c>
      <c r="BZ133">
        <v>100</v>
      </c>
      <c r="CA133">
        <v>49</v>
      </c>
      <c r="CB133" t="s">
        <v>332</v>
      </c>
      <c r="CE133">
        <v>0</v>
      </c>
      <c r="CF133">
        <v>0</v>
      </c>
      <c r="CG133">
        <v>0</v>
      </c>
      <c r="CM133">
        <v>0</v>
      </c>
      <c r="CN133" t="s">
        <v>332</v>
      </c>
      <c r="CO133">
        <v>0</v>
      </c>
      <c r="CP133">
        <f t="shared" si="95"/>
        <v>10.18</v>
      </c>
      <c r="CQ133">
        <f>ROUND(AL133*BC133,2)</f>
        <v>86539.43</v>
      </c>
      <c r="CR133">
        <f>ROUND(AM133*BB133,2)</f>
        <v>0</v>
      </c>
      <c r="CS133">
        <f>ROUND(AN133*BS133,2)</f>
        <v>0</v>
      </c>
      <c r="CT133">
        <f>ROUND(AO133*BA133,2)</f>
        <v>0</v>
      </c>
      <c r="CU133">
        <f t="shared" si="96"/>
        <v>0</v>
      </c>
      <c r="CV133">
        <f>AH133</f>
        <v>0</v>
      </c>
      <c r="CW133">
        <f>AI133</f>
        <v>0</v>
      </c>
      <c r="CX133">
        <f t="shared" si="97"/>
        <v>0</v>
      </c>
      <c r="CY133">
        <f t="shared" si="98"/>
        <v>0</v>
      </c>
      <c r="CZ133">
        <f t="shared" si="99"/>
        <v>0</v>
      </c>
      <c r="DC133" t="s">
        <v>332</v>
      </c>
      <c r="DD133" t="s">
        <v>332</v>
      </c>
      <c r="DE133" t="s">
        <v>332</v>
      </c>
      <c r="DF133" t="s">
        <v>332</v>
      </c>
      <c r="DG133" t="s">
        <v>332</v>
      </c>
      <c r="DH133" t="s">
        <v>332</v>
      </c>
      <c r="DI133" t="s">
        <v>332</v>
      </c>
      <c r="DJ133" t="s">
        <v>332</v>
      </c>
      <c r="DK133" t="s">
        <v>332</v>
      </c>
      <c r="DL133" t="s">
        <v>332</v>
      </c>
      <c r="DM133" t="s">
        <v>332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87</v>
      </c>
      <c r="DW133" t="s">
        <v>87</v>
      </c>
      <c r="DX133">
        <v>1000</v>
      </c>
      <c r="DZ133" t="s">
        <v>332</v>
      </c>
      <c r="EA133" t="s">
        <v>332</v>
      </c>
      <c r="EB133" t="s">
        <v>332</v>
      </c>
      <c r="EC133" t="s">
        <v>332</v>
      </c>
      <c r="EE133">
        <v>77313118</v>
      </c>
      <c r="EF133">
        <v>2</v>
      </c>
      <c r="EG133" t="s">
        <v>391</v>
      </c>
      <c r="EH133">
        <v>15</v>
      </c>
      <c r="EI133" t="s">
        <v>403</v>
      </c>
      <c r="EJ133">
        <v>1</v>
      </c>
      <c r="EK133">
        <v>15001</v>
      </c>
      <c r="EL133" t="s">
        <v>403</v>
      </c>
      <c r="EM133" t="s">
        <v>404</v>
      </c>
      <c r="EO133" t="s">
        <v>332</v>
      </c>
      <c r="EQ133">
        <v>0</v>
      </c>
      <c r="ER133">
        <v>61813.88</v>
      </c>
      <c r="ES133">
        <v>61813.88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v>0</v>
      </c>
      <c r="FS133">
        <v>0</v>
      </c>
      <c r="FX133">
        <v>100</v>
      </c>
      <c r="FY133">
        <v>49</v>
      </c>
      <c r="GA133" t="s">
        <v>332</v>
      </c>
      <c r="GD133">
        <v>1</v>
      </c>
      <c r="GF133">
        <v>-2053071529</v>
      </c>
      <c r="GG133">
        <v>2</v>
      </c>
      <c r="GH133">
        <v>1</v>
      </c>
      <c r="GI133">
        <v>2</v>
      </c>
      <c r="GJ133">
        <v>0</v>
      </c>
      <c r="GK133">
        <v>0</v>
      </c>
      <c r="GL133">
        <f t="shared" si="100"/>
        <v>0</v>
      </c>
      <c r="GM133">
        <f t="shared" si="101"/>
        <v>10.18</v>
      </c>
      <c r="GN133">
        <f t="shared" si="102"/>
        <v>10.18</v>
      </c>
      <c r="GO133">
        <f t="shared" si="103"/>
        <v>0</v>
      </c>
      <c r="GP133">
        <f t="shared" si="104"/>
        <v>0</v>
      </c>
      <c r="GR133">
        <v>0</v>
      </c>
      <c r="GS133">
        <v>0</v>
      </c>
      <c r="GT133">
        <v>0</v>
      </c>
      <c r="GU133" t="s">
        <v>332</v>
      </c>
      <c r="GV133">
        <f t="shared" si="105"/>
        <v>0</v>
      </c>
      <c r="GW133">
        <v>1</v>
      </c>
      <c r="GX133">
        <f t="shared" si="106"/>
        <v>0</v>
      </c>
      <c r="HA133">
        <v>0</v>
      </c>
      <c r="HB133">
        <v>0</v>
      </c>
      <c r="HC133">
        <f t="shared" si="107"/>
        <v>0</v>
      </c>
      <c r="HE133" t="s">
        <v>332</v>
      </c>
      <c r="HF133" t="s">
        <v>332</v>
      </c>
      <c r="HM133" t="s">
        <v>332</v>
      </c>
      <c r="HN133" t="s">
        <v>405</v>
      </c>
      <c r="HO133" t="s">
        <v>406</v>
      </c>
      <c r="HP133" t="s">
        <v>403</v>
      </c>
      <c r="HQ133" t="s">
        <v>403</v>
      </c>
      <c r="HS133">
        <v>0</v>
      </c>
      <c r="IK133">
        <v>0</v>
      </c>
    </row>
    <row r="134" spans="1:245" x14ac:dyDescent="0.25">
      <c r="A134">
        <v>17</v>
      </c>
      <c r="B134">
        <v>1</v>
      </c>
      <c r="C134">
        <f>ROW(SmtRes!A149)</f>
        <v>149</v>
      </c>
      <c r="D134">
        <f>ROW(EtalonRes!A149)</f>
        <v>149</v>
      </c>
      <c r="E134" t="s">
        <v>290</v>
      </c>
      <c r="F134" t="s">
        <v>411</v>
      </c>
      <c r="G134" t="s">
        <v>412</v>
      </c>
      <c r="H134" t="s">
        <v>104</v>
      </c>
      <c r="I134">
        <v>0.02</v>
      </c>
      <c r="J134">
        <v>0</v>
      </c>
      <c r="K134">
        <v>0.02</v>
      </c>
      <c r="O134">
        <f t="shared" si="87"/>
        <v>389.29</v>
      </c>
      <c r="P134">
        <f>SUMIF(SmtRes!AQ140:'SmtRes'!AQ149,"=1",SmtRes!DF140:'SmtRes'!DF149)</f>
        <v>83.06</v>
      </c>
      <c r="Q134">
        <f>SUMIF(SmtRes!AQ140:'SmtRes'!AQ149,"=1",SmtRes!DG140:'SmtRes'!DG149)</f>
        <v>6.87</v>
      </c>
      <c r="R134">
        <f>SUMIF(SmtRes!AQ140:'SmtRes'!AQ149,"=1",SmtRes!DH140:'SmtRes'!DH149)</f>
        <v>6.68</v>
      </c>
      <c r="S134">
        <f>SUMIF(SmtRes!AQ140:'SmtRes'!AQ149,"=1",SmtRes!DI140:'SmtRes'!DI149)</f>
        <v>292.68</v>
      </c>
      <c r="T134">
        <f t="shared" si="88"/>
        <v>0</v>
      </c>
      <c r="U134">
        <f>SUMIF(SmtRes!AQ140:'SmtRes'!AQ149,"=1",SmtRes!CV140:'SmtRes'!CV149)</f>
        <v>0.42435</v>
      </c>
      <c r="V134">
        <f>SUMIF(SmtRes!AQ140:'SmtRes'!AQ149,"=1",SmtRes!CW140:'SmtRes'!CW149)</f>
        <v>9.2499999999999995E-3</v>
      </c>
      <c r="W134">
        <f t="shared" si="89"/>
        <v>0</v>
      </c>
      <c r="X134">
        <f t="shared" si="90"/>
        <v>261.33999999999997</v>
      </c>
      <c r="Y134">
        <f t="shared" si="91"/>
        <v>139.94999999999999</v>
      </c>
      <c r="AA134">
        <v>78397139</v>
      </c>
      <c r="AB134">
        <f t="shared" si="92"/>
        <v>19385.644443000001</v>
      </c>
      <c r="AC134">
        <f>ROUND((SUM(SmtRes!BQ140:'SmtRes'!BQ149)),6)</f>
        <v>4422.4384680000003</v>
      </c>
      <c r="AD134">
        <f>ROUND((((SUM(SmtRes!BR140:'SmtRes'!BR149))-(SUM(SmtRes!BS140:'SmtRes'!BS149)))+AE134),6)</f>
        <v>329.07187499999998</v>
      </c>
      <c r="AE134">
        <f>ROUND((SUM(SmtRes!BS140:'SmtRes'!BS149)),6)</f>
        <v>333.948125</v>
      </c>
      <c r="AF134">
        <f>ROUND((SUM(SmtRes!BT140:'SmtRes'!BT149)),6)</f>
        <v>14634.134099999999</v>
      </c>
      <c r="AG134">
        <f t="shared" si="93"/>
        <v>0</v>
      </c>
      <c r="AH134">
        <f>(SUM(SmtRes!BU140:'SmtRes'!BU149))</f>
        <v>21.217500000000001</v>
      </c>
      <c r="AI134">
        <f>(SUM(SmtRes!BV140:'SmtRes'!BV149))</f>
        <v>0.46250000000000002</v>
      </c>
      <c r="AJ134">
        <f t="shared" si="94"/>
        <v>0</v>
      </c>
      <c r="AK134">
        <v>17678.188468</v>
      </c>
      <c r="AL134">
        <v>4422.4384680000003</v>
      </c>
      <c r="AM134">
        <v>263.25749999999999</v>
      </c>
      <c r="AN134">
        <v>267.1585</v>
      </c>
      <c r="AO134">
        <v>12725.334000000001</v>
      </c>
      <c r="AP134">
        <v>0</v>
      </c>
      <c r="AQ134">
        <v>18.45</v>
      </c>
      <c r="AR134">
        <v>0.37</v>
      </c>
      <c r="AS134">
        <v>0</v>
      </c>
      <c r="AT134">
        <v>87.3</v>
      </c>
      <c r="AU134">
        <v>46.75</v>
      </c>
      <c r="AV134">
        <v>1</v>
      </c>
      <c r="AW134">
        <v>1</v>
      </c>
      <c r="AZ134">
        <v>1</v>
      </c>
      <c r="BA134">
        <v>1</v>
      </c>
      <c r="BB134">
        <v>1</v>
      </c>
      <c r="BC134">
        <v>1</v>
      </c>
      <c r="BD134" t="s">
        <v>332</v>
      </c>
      <c r="BE134" t="s">
        <v>332</v>
      </c>
      <c r="BF134" t="s">
        <v>332</v>
      </c>
      <c r="BG134" t="s">
        <v>332</v>
      </c>
      <c r="BH134">
        <v>0</v>
      </c>
      <c r="BI134">
        <v>1</v>
      </c>
      <c r="BJ134" t="s">
        <v>413</v>
      </c>
      <c r="BM134">
        <v>26001</v>
      </c>
      <c r="BN134">
        <v>0</v>
      </c>
      <c r="BO134" t="s">
        <v>332</v>
      </c>
      <c r="BP134">
        <v>0</v>
      </c>
      <c r="BQ134">
        <v>2</v>
      </c>
      <c r="BR134">
        <v>0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332</v>
      </c>
      <c r="BZ134">
        <v>97</v>
      </c>
      <c r="CA134">
        <v>55</v>
      </c>
      <c r="CB134" t="s">
        <v>332</v>
      </c>
      <c r="CE134">
        <v>0</v>
      </c>
      <c r="CF134">
        <v>0</v>
      </c>
      <c r="CG134">
        <v>0</v>
      </c>
      <c r="CM134">
        <v>0</v>
      </c>
      <c r="CN134" t="s">
        <v>385</v>
      </c>
      <c r="CO134">
        <v>0</v>
      </c>
      <c r="CP134">
        <f t="shared" si="95"/>
        <v>389.29</v>
      </c>
      <c r="CQ134">
        <f>SUMIF(SmtRes!AQ140:'SmtRes'!AQ149,"=1",SmtRes!AA140:'SmtRes'!AA149)</f>
        <v>685793.04999999993</v>
      </c>
      <c r="CR134">
        <f>SUMIF(SmtRes!AQ140:'SmtRes'!AQ149,"=1",SmtRes!AB140:'SmtRes'!AB149)</f>
        <v>674.31</v>
      </c>
      <c r="CS134">
        <f>SUMIF(SmtRes!AQ140:'SmtRes'!AQ149,"=1",SmtRes!AC140:'SmtRes'!AC149)</f>
        <v>722.05</v>
      </c>
      <c r="CT134">
        <f>SUMIF(SmtRes!AQ140:'SmtRes'!AQ149,"=1",SmtRes!AD140:'SmtRes'!AD149)</f>
        <v>689.72</v>
      </c>
      <c r="CU134">
        <f t="shared" si="96"/>
        <v>0</v>
      </c>
      <c r="CV134">
        <f>SUMIF(SmtRes!AQ140:'SmtRes'!AQ149,"=1",SmtRes!BU140:'SmtRes'!BU149)</f>
        <v>21.217500000000001</v>
      </c>
      <c r="CW134">
        <f>SUMIF(SmtRes!AQ140:'SmtRes'!AQ149,"=1",SmtRes!BV140:'SmtRes'!BV149)</f>
        <v>0.46250000000000002</v>
      </c>
      <c r="CX134">
        <f t="shared" si="97"/>
        <v>0</v>
      </c>
      <c r="CY134">
        <f t="shared" si="98"/>
        <v>261.34127999999998</v>
      </c>
      <c r="CZ134">
        <f t="shared" si="99"/>
        <v>139.95079999999999</v>
      </c>
      <c r="DB134">
        <v>7</v>
      </c>
      <c r="DC134" t="s">
        <v>332</v>
      </c>
      <c r="DD134" t="s">
        <v>332</v>
      </c>
      <c r="DE134" t="s">
        <v>401</v>
      </c>
      <c r="DF134" t="s">
        <v>401</v>
      </c>
      <c r="DG134" t="s">
        <v>402</v>
      </c>
      <c r="DH134" t="s">
        <v>332</v>
      </c>
      <c r="DI134" t="s">
        <v>402</v>
      </c>
      <c r="DJ134" t="s">
        <v>401</v>
      </c>
      <c r="DK134" t="s">
        <v>332</v>
      </c>
      <c r="DL134" t="s">
        <v>389</v>
      </c>
      <c r="DM134" t="s">
        <v>390</v>
      </c>
      <c r="DN134">
        <v>0</v>
      </c>
      <c r="DO134">
        <v>0</v>
      </c>
      <c r="DP134">
        <v>1</v>
      </c>
      <c r="DQ134">
        <v>1</v>
      </c>
      <c r="DU134">
        <v>1007</v>
      </c>
      <c r="DV134" t="s">
        <v>104</v>
      </c>
      <c r="DW134" t="s">
        <v>104</v>
      </c>
      <c r="DX134">
        <v>1</v>
      </c>
      <c r="DZ134" t="s">
        <v>332</v>
      </c>
      <c r="EA134" t="s">
        <v>332</v>
      </c>
      <c r="EB134" t="s">
        <v>332</v>
      </c>
      <c r="EC134" t="s">
        <v>332</v>
      </c>
      <c r="EE134">
        <v>77313132</v>
      </c>
      <c r="EF134">
        <v>2</v>
      </c>
      <c r="EG134" t="s">
        <v>391</v>
      </c>
      <c r="EH134">
        <v>20</v>
      </c>
      <c r="EI134" t="s">
        <v>414</v>
      </c>
      <c r="EJ134">
        <v>1</v>
      </c>
      <c r="EK134">
        <v>26001</v>
      </c>
      <c r="EL134" t="s">
        <v>414</v>
      </c>
      <c r="EM134" t="s">
        <v>415</v>
      </c>
      <c r="EO134" t="s">
        <v>395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18.45</v>
      </c>
      <c r="EX134">
        <v>0.37</v>
      </c>
      <c r="EY134">
        <v>0</v>
      </c>
      <c r="FQ134">
        <v>0</v>
      </c>
      <c r="FR134">
        <v>0</v>
      </c>
      <c r="FS134">
        <v>0</v>
      </c>
      <c r="FX134">
        <v>87.3</v>
      </c>
      <c r="FY134">
        <v>46.75</v>
      </c>
      <c r="GA134" t="s">
        <v>332</v>
      </c>
      <c r="GD134">
        <v>1</v>
      </c>
      <c r="GF134">
        <v>364370599</v>
      </c>
      <c r="GG134">
        <v>2</v>
      </c>
      <c r="GH134">
        <v>1</v>
      </c>
      <c r="GI134">
        <v>-2</v>
      </c>
      <c r="GJ134">
        <v>0</v>
      </c>
      <c r="GK134">
        <v>0</v>
      </c>
      <c r="GL134">
        <f t="shared" si="100"/>
        <v>0</v>
      </c>
      <c r="GM134">
        <f t="shared" si="101"/>
        <v>790.58</v>
      </c>
      <c r="GN134">
        <f t="shared" si="102"/>
        <v>790.58</v>
      </c>
      <c r="GO134">
        <f t="shared" si="103"/>
        <v>0</v>
      </c>
      <c r="GP134">
        <f t="shared" si="104"/>
        <v>0</v>
      </c>
      <c r="GR134">
        <v>0</v>
      </c>
      <c r="GS134">
        <v>3</v>
      </c>
      <c r="GT134">
        <v>0</v>
      </c>
      <c r="GU134" t="s">
        <v>332</v>
      </c>
      <c r="GV134">
        <f t="shared" si="105"/>
        <v>0</v>
      </c>
      <c r="GW134">
        <v>1</v>
      </c>
      <c r="GX134">
        <f t="shared" si="106"/>
        <v>0</v>
      </c>
      <c r="HA134">
        <v>0</v>
      </c>
      <c r="HB134">
        <v>0</v>
      </c>
      <c r="HC134">
        <f t="shared" si="107"/>
        <v>0</v>
      </c>
      <c r="HE134" t="s">
        <v>332</v>
      </c>
      <c r="HF134" t="s">
        <v>332</v>
      </c>
      <c r="HM134" t="s">
        <v>332</v>
      </c>
      <c r="HN134" t="s">
        <v>416</v>
      </c>
      <c r="HO134" t="s">
        <v>417</v>
      </c>
      <c r="HP134" t="s">
        <v>414</v>
      </c>
      <c r="HQ134" t="s">
        <v>414</v>
      </c>
      <c r="HS134">
        <v>0</v>
      </c>
      <c r="IK134">
        <v>0</v>
      </c>
    </row>
    <row r="135" spans="1:245" x14ac:dyDescent="0.25">
      <c r="A135">
        <v>18</v>
      </c>
      <c r="B135">
        <v>1</v>
      </c>
      <c r="C135">
        <v>149</v>
      </c>
      <c r="E135" t="s">
        <v>544</v>
      </c>
      <c r="F135" t="s">
        <v>545</v>
      </c>
      <c r="G135" t="s">
        <v>546</v>
      </c>
      <c r="H135" t="s">
        <v>69</v>
      </c>
      <c r="I135">
        <f>I134*J135</f>
        <v>2.06</v>
      </c>
      <c r="J135">
        <v>103</v>
      </c>
      <c r="K135">
        <v>103</v>
      </c>
      <c r="O135">
        <f t="shared" si="87"/>
        <v>967.85</v>
      </c>
      <c r="P135">
        <f>ROUND(CQ135*I135,2)</f>
        <v>967.85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 t="shared" si="88"/>
        <v>0</v>
      </c>
      <c r="U135">
        <f>ROUND(CV135*I135,7)</f>
        <v>0</v>
      </c>
      <c r="V135">
        <f>ROUND(CW135*I135,7)</f>
        <v>0</v>
      </c>
      <c r="W135">
        <f t="shared" si="89"/>
        <v>0</v>
      </c>
      <c r="X135">
        <f t="shared" si="90"/>
        <v>0</v>
      </c>
      <c r="Y135">
        <f t="shared" si="91"/>
        <v>0</v>
      </c>
      <c r="AA135">
        <v>78397139</v>
      </c>
      <c r="AB135">
        <f t="shared" si="92"/>
        <v>340.46</v>
      </c>
      <c r="AC135">
        <f>ROUND((ES135),6)</f>
        <v>340.46</v>
      </c>
      <c r="AD135">
        <f>ROUND((((ET135)-(EU135))+AE135),6)</f>
        <v>0</v>
      </c>
      <c r="AE135">
        <f>ROUND((EU135),6)</f>
        <v>0</v>
      </c>
      <c r="AF135">
        <f>ROUND((EV135),6)</f>
        <v>0</v>
      </c>
      <c r="AG135">
        <f t="shared" si="93"/>
        <v>0</v>
      </c>
      <c r="AH135">
        <f>(EW135)</f>
        <v>0</v>
      </c>
      <c r="AI135">
        <f>(EX135)</f>
        <v>0</v>
      </c>
      <c r="AJ135">
        <f t="shared" si="94"/>
        <v>0</v>
      </c>
      <c r="AK135">
        <v>340.46</v>
      </c>
      <c r="AL135">
        <v>340.46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97</v>
      </c>
      <c r="AU135">
        <v>55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1.38</v>
      </c>
      <c r="BD135" t="s">
        <v>332</v>
      </c>
      <c r="BE135" t="s">
        <v>332</v>
      </c>
      <c r="BF135" t="s">
        <v>332</v>
      </c>
      <c r="BG135" t="s">
        <v>332</v>
      </c>
      <c r="BH135">
        <v>3</v>
      </c>
      <c r="BI135">
        <v>1</v>
      </c>
      <c r="BJ135" t="s">
        <v>547</v>
      </c>
      <c r="BM135">
        <v>26001</v>
      </c>
      <c r="BN135">
        <v>0</v>
      </c>
      <c r="BO135" t="s">
        <v>545</v>
      </c>
      <c r="BP135">
        <v>1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332</v>
      </c>
      <c r="BZ135">
        <v>97</v>
      </c>
      <c r="CA135">
        <v>55</v>
      </c>
      <c r="CB135" t="s">
        <v>332</v>
      </c>
      <c r="CE135">
        <v>0</v>
      </c>
      <c r="CF135">
        <v>0</v>
      </c>
      <c r="CG135">
        <v>0</v>
      </c>
      <c r="CM135">
        <v>0</v>
      </c>
      <c r="CN135" t="s">
        <v>332</v>
      </c>
      <c r="CO135">
        <v>0</v>
      </c>
      <c r="CP135">
        <f t="shared" si="95"/>
        <v>967.85</v>
      </c>
      <c r="CQ135">
        <f>ROUND(AL135*BC135,2)</f>
        <v>469.83</v>
      </c>
      <c r="CR135">
        <f>ROUND(AM135*BB135,2)</f>
        <v>0</v>
      </c>
      <c r="CS135">
        <f>ROUND(AN135*BS135,2)</f>
        <v>0</v>
      </c>
      <c r="CT135">
        <f>ROUND(AO135*BA135,2)</f>
        <v>0</v>
      </c>
      <c r="CU135">
        <f t="shared" si="96"/>
        <v>0</v>
      </c>
      <c r="CV135">
        <f>AH135</f>
        <v>0</v>
      </c>
      <c r="CW135">
        <f>AI135</f>
        <v>0</v>
      </c>
      <c r="CX135">
        <f t="shared" si="97"/>
        <v>0</v>
      </c>
      <c r="CY135">
        <f t="shared" si="98"/>
        <v>0</v>
      </c>
      <c r="CZ135">
        <f t="shared" si="99"/>
        <v>0</v>
      </c>
      <c r="DC135" t="s">
        <v>332</v>
      </c>
      <c r="DD135" t="s">
        <v>332</v>
      </c>
      <c r="DE135" t="s">
        <v>332</v>
      </c>
      <c r="DF135" t="s">
        <v>332</v>
      </c>
      <c r="DG135" t="s">
        <v>332</v>
      </c>
      <c r="DH135" t="s">
        <v>332</v>
      </c>
      <c r="DI135" t="s">
        <v>332</v>
      </c>
      <c r="DJ135" t="s">
        <v>332</v>
      </c>
      <c r="DK135" t="s">
        <v>332</v>
      </c>
      <c r="DL135" t="s">
        <v>332</v>
      </c>
      <c r="DM135" t="s">
        <v>332</v>
      </c>
      <c r="DN135">
        <v>0</v>
      </c>
      <c r="DO135">
        <v>0</v>
      </c>
      <c r="DP135">
        <v>1</v>
      </c>
      <c r="DQ135">
        <v>1</v>
      </c>
      <c r="DU135">
        <v>1003</v>
      </c>
      <c r="DV135" t="s">
        <v>69</v>
      </c>
      <c r="DW135" t="s">
        <v>69</v>
      </c>
      <c r="DX135">
        <v>1</v>
      </c>
      <c r="DZ135" t="s">
        <v>332</v>
      </c>
      <c r="EA135" t="s">
        <v>332</v>
      </c>
      <c r="EB135" t="s">
        <v>332</v>
      </c>
      <c r="EC135" t="s">
        <v>332</v>
      </c>
      <c r="EE135">
        <v>77313132</v>
      </c>
      <c r="EF135">
        <v>2</v>
      </c>
      <c r="EG135" t="s">
        <v>391</v>
      </c>
      <c r="EH135">
        <v>20</v>
      </c>
      <c r="EI135" t="s">
        <v>414</v>
      </c>
      <c r="EJ135">
        <v>1</v>
      </c>
      <c r="EK135">
        <v>26001</v>
      </c>
      <c r="EL135" t="s">
        <v>414</v>
      </c>
      <c r="EM135" t="s">
        <v>415</v>
      </c>
      <c r="EO135" t="s">
        <v>332</v>
      </c>
      <c r="EQ135">
        <v>0</v>
      </c>
      <c r="ER135">
        <v>340.46</v>
      </c>
      <c r="ES135">
        <v>340.46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v>0</v>
      </c>
      <c r="FS135">
        <v>0</v>
      </c>
      <c r="FX135">
        <v>97</v>
      </c>
      <c r="FY135">
        <v>55</v>
      </c>
      <c r="GA135" t="s">
        <v>332</v>
      </c>
      <c r="GD135">
        <v>1</v>
      </c>
      <c r="GF135">
        <v>1461781127</v>
      </c>
      <c r="GG135">
        <v>2</v>
      </c>
      <c r="GH135">
        <v>1</v>
      </c>
      <c r="GI135">
        <v>2</v>
      </c>
      <c r="GJ135">
        <v>0</v>
      </c>
      <c r="GK135">
        <v>0</v>
      </c>
      <c r="GL135">
        <f t="shared" si="100"/>
        <v>0</v>
      </c>
      <c r="GM135">
        <f t="shared" si="101"/>
        <v>967.85</v>
      </c>
      <c r="GN135">
        <f t="shared" si="102"/>
        <v>967.85</v>
      </c>
      <c r="GO135">
        <f t="shared" si="103"/>
        <v>0</v>
      </c>
      <c r="GP135">
        <f t="shared" si="104"/>
        <v>0</v>
      </c>
      <c r="GR135">
        <v>0</v>
      </c>
      <c r="GS135">
        <v>3</v>
      </c>
      <c r="GT135">
        <v>0</v>
      </c>
      <c r="GU135" t="s">
        <v>332</v>
      </c>
      <c r="GV135">
        <f t="shared" si="105"/>
        <v>0</v>
      </c>
      <c r="GW135">
        <v>1</v>
      </c>
      <c r="GX135">
        <f t="shared" si="106"/>
        <v>0</v>
      </c>
      <c r="HA135">
        <v>0</v>
      </c>
      <c r="HB135">
        <v>0</v>
      </c>
      <c r="HC135">
        <f t="shared" si="107"/>
        <v>0</v>
      </c>
      <c r="HE135" t="s">
        <v>332</v>
      </c>
      <c r="HF135" t="s">
        <v>332</v>
      </c>
      <c r="HM135" t="s">
        <v>332</v>
      </c>
      <c r="HN135" t="s">
        <v>416</v>
      </c>
      <c r="HO135" t="s">
        <v>417</v>
      </c>
      <c r="HP135" t="s">
        <v>414</v>
      </c>
      <c r="HQ135" t="s">
        <v>414</v>
      </c>
      <c r="HS135">
        <v>0</v>
      </c>
      <c r="IK135">
        <v>0</v>
      </c>
    </row>
    <row r="136" spans="1:245" x14ac:dyDescent="0.25">
      <c r="A136">
        <v>17</v>
      </c>
      <c r="B136">
        <v>1</v>
      </c>
      <c r="C136">
        <f>ROW(SmtRes!A154)</f>
        <v>154</v>
      </c>
      <c r="D136">
        <f>ROW(EtalonRes!A154)</f>
        <v>154</v>
      </c>
      <c r="E136" t="s">
        <v>292</v>
      </c>
      <c r="F136" t="s">
        <v>345</v>
      </c>
      <c r="G136" t="s">
        <v>346</v>
      </c>
      <c r="H136" t="s">
        <v>347</v>
      </c>
      <c r="I136">
        <f>ROUND(2/100,7)</f>
        <v>0.02</v>
      </c>
      <c r="J136">
        <v>0</v>
      </c>
      <c r="K136">
        <f>ROUND(2/100,7)</f>
        <v>0.02</v>
      </c>
      <c r="O136">
        <f t="shared" si="87"/>
        <v>3355.19</v>
      </c>
      <c r="P136">
        <f>SUMIF(SmtRes!AQ150:'SmtRes'!AQ154,"=1",SmtRes!DF150:'SmtRes'!DF154)</f>
        <v>2410.38</v>
      </c>
      <c r="Q136">
        <f>SUMIF(SmtRes!AQ150:'SmtRes'!AQ154,"=1",SmtRes!DG150:'SmtRes'!DG154)</f>
        <v>0.05</v>
      </c>
      <c r="R136">
        <f>SUMIF(SmtRes!AQ150:'SmtRes'!AQ154,"=1",SmtRes!DH150:'SmtRes'!DH154)</f>
        <v>0.29000000000000004</v>
      </c>
      <c r="S136">
        <f>SUMIF(SmtRes!AQ150:'SmtRes'!AQ154,"=1",SmtRes!DI150:'SmtRes'!DI154)</f>
        <v>944.47</v>
      </c>
      <c r="T136">
        <f t="shared" si="88"/>
        <v>0</v>
      </c>
      <c r="U136">
        <f>SUMIF(SmtRes!AQ150:'SmtRes'!AQ154,"=1",SmtRes!CV150:'SmtRes'!CV154)</f>
        <v>1.3855999999999999</v>
      </c>
      <c r="V136">
        <f>SUMIF(SmtRes!AQ150:'SmtRes'!AQ154,"=1",SmtRes!CW150:'SmtRes'!CW154)</f>
        <v>4.4000000000000002E-4</v>
      </c>
      <c r="W136">
        <f t="shared" si="89"/>
        <v>0</v>
      </c>
      <c r="X136">
        <f t="shared" si="90"/>
        <v>850.28</v>
      </c>
      <c r="Y136">
        <f t="shared" si="91"/>
        <v>425.14</v>
      </c>
      <c r="AA136">
        <v>78397139</v>
      </c>
      <c r="AB136">
        <f t="shared" si="92"/>
        <v>120714.85937999999</v>
      </c>
      <c r="AC136">
        <f>ROUND((SUM(SmtRes!BQ150:'SmtRes'!BQ154)),6)</f>
        <v>73489.5</v>
      </c>
      <c r="AD136">
        <f>ROUND((((SUM(SmtRes!BR150:'SmtRes'!BR154))-(SUM(SmtRes!BS150:'SmtRes'!BS154)))+AE136),6)</f>
        <v>2.0329799999999998</v>
      </c>
      <c r="AE136">
        <f>ROUND((SUM(SmtRes!BS150:'SmtRes'!BS154)),6)</f>
        <v>14.2685</v>
      </c>
      <c r="AF136">
        <f>ROUND((SUM(SmtRes!BT150:'SmtRes'!BT154)),6)</f>
        <v>47223.326399999998</v>
      </c>
      <c r="AG136">
        <f t="shared" si="93"/>
        <v>0</v>
      </c>
      <c r="AH136">
        <f>(SUM(SmtRes!BU150:'SmtRes'!BU154))</f>
        <v>69.28</v>
      </c>
      <c r="AI136">
        <f>(SUM(SmtRes!BV150:'SmtRes'!BV154))</f>
        <v>2.1999999999999999E-2</v>
      </c>
      <c r="AJ136">
        <f t="shared" si="94"/>
        <v>0</v>
      </c>
      <c r="AK136">
        <v>120729.12788</v>
      </c>
      <c r="AL136">
        <v>73489.5</v>
      </c>
      <c r="AM136">
        <v>2.0329799999999998</v>
      </c>
      <c r="AN136">
        <v>14.2685</v>
      </c>
      <c r="AO136">
        <v>47223.326399999998</v>
      </c>
      <c r="AP136">
        <v>0</v>
      </c>
      <c r="AQ136">
        <v>69.28</v>
      </c>
      <c r="AR136">
        <v>2.1999999999999999E-2</v>
      </c>
      <c r="AS136">
        <v>0</v>
      </c>
      <c r="AT136">
        <v>90</v>
      </c>
      <c r="AU136">
        <v>45</v>
      </c>
      <c r="AV136">
        <v>1</v>
      </c>
      <c r="AW136">
        <v>1</v>
      </c>
      <c r="AZ136">
        <v>1</v>
      </c>
      <c r="BA136">
        <v>1</v>
      </c>
      <c r="BB136">
        <v>1</v>
      </c>
      <c r="BC136">
        <v>1</v>
      </c>
      <c r="BD136" t="s">
        <v>332</v>
      </c>
      <c r="BE136" t="s">
        <v>332</v>
      </c>
      <c r="BF136" t="s">
        <v>332</v>
      </c>
      <c r="BG136" t="s">
        <v>332</v>
      </c>
      <c r="BH136">
        <v>0</v>
      </c>
      <c r="BI136">
        <v>1</v>
      </c>
      <c r="BJ136" t="s">
        <v>348</v>
      </c>
      <c r="BM136">
        <v>63001</v>
      </c>
      <c r="BN136">
        <v>0</v>
      </c>
      <c r="BO136" t="s">
        <v>332</v>
      </c>
      <c r="BP136">
        <v>0</v>
      </c>
      <c r="BQ136">
        <v>6</v>
      </c>
      <c r="BR136">
        <v>0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332</v>
      </c>
      <c r="BZ136">
        <v>90</v>
      </c>
      <c r="CA136">
        <v>45</v>
      </c>
      <c r="CB136" t="s">
        <v>332</v>
      </c>
      <c r="CE136">
        <v>0</v>
      </c>
      <c r="CF136">
        <v>0</v>
      </c>
      <c r="CG136">
        <v>0</v>
      </c>
      <c r="CM136">
        <v>0</v>
      </c>
      <c r="CN136" t="s">
        <v>332</v>
      </c>
      <c r="CO136">
        <v>0</v>
      </c>
      <c r="CP136">
        <f t="shared" si="95"/>
        <v>3355.1900000000005</v>
      </c>
      <c r="CQ136">
        <f>SUMIF(SmtRes!AQ150:'SmtRes'!AQ154,"=1",SmtRes!AA150:'SmtRes'!AA154)</f>
        <v>114.78</v>
      </c>
      <c r="CR136">
        <f>SUMIF(SmtRes!AQ150:'SmtRes'!AQ154,"=1",SmtRes!AB150:'SmtRes'!AB154)</f>
        <v>700.76</v>
      </c>
      <c r="CS136">
        <f>SUMIF(SmtRes!AQ150:'SmtRes'!AQ154,"=1",SmtRes!AC150:'SmtRes'!AC154)</f>
        <v>1363.27</v>
      </c>
      <c r="CT136">
        <f>SUMIF(SmtRes!AQ150:'SmtRes'!AQ154,"=1",SmtRes!AD150:'SmtRes'!AD154)</f>
        <v>681.63</v>
      </c>
      <c r="CU136">
        <f t="shared" si="96"/>
        <v>0</v>
      </c>
      <c r="CV136">
        <f>SUMIF(SmtRes!AQ150:'SmtRes'!AQ154,"=1",SmtRes!BU150:'SmtRes'!BU154)</f>
        <v>69.28</v>
      </c>
      <c r="CW136">
        <f>SUMIF(SmtRes!AQ150:'SmtRes'!AQ154,"=1",SmtRes!BV150:'SmtRes'!BV154)</f>
        <v>2.1999999999999999E-2</v>
      </c>
      <c r="CX136">
        <f t="shared" si="97"/>
        <v>0</v>
      </c>
      <c r="CY136">
        <f t="shared" si="98"/>
        <v>850.28399999999999</v>
      </c>
      <c r="CZ136">
        <f t="shared" si="99"/>
        <v>425.142</v>
      </c>
      <c r="DC136" t="s">
        <v>332</v>
      </c>
      <c r="DD136" t="s">
        <v>332</v>
      </c>
      <c r="DE136" t="s">
        <v>332</v>
      </c>
      <c r="DF136" t="s">
        <v>332</v>
      </c>
      <c r="DG136" t="s">
        <v>332</v>
      </c>
      <c r="DH136" t="s">
        <v>332</v>
      </c>
      <c r="DI136" t="s">
        <v>332</v>
      </c>
      <c r="DJ136" t="s">
        <v>332</v>
      </c>
      <c r="DK136" t="s">
        <v>332</v>
      </c>
      <c r="DL136" t="s">
        <v>332</v>
      </c>
      <c r="DM136" t="s">
        <v>332</v>
      </c>
      <c r="DN136">
        <v>0</v>
      </c>
      <c r="DO136">
        <v>0</v>
      </c>
      <c r="DP136">
        <v>1</v>
      </c>
      <c r="DQ136">
        <v>1</v>
      </c>
      <c r="DU136">
        <v>1005</v>
      </c>
      <c r="DV136" t="s">
        <v>347</v>
      </c>
      <c r="DW136" t="s">
        <v>347</v>
      </c>
      <c r="DX136">
        <v>100</v>
      </c>
      <c r="DZ136" t="s">
        <v>332</v>
      </c>
      <c r="EA136" t="s">
        <v>332</v>
      </c>
      <c r="EB136" t="s">
        <v>332</v>
      </c>
      <c r="EC136" t="s">
        <v>332</v>
      </c>
      <c r="EE136">
        <v>77313176</v>
      </c>
      <c r="EF136">
        <v>6</v>
      </c>
      <c r="EG136" t="s">
        <v>349</v>
      </c>
      <c r="EH136">
        <v>97</v>
      </c>
      <c r="EI136" t="s">
        <v>350</v>
      </c>
      <c r="EJ136">
        <v>1</v>
      </c>
      <c r="EK136">
        <v>63001</v>
      </c>
      <c r="EL136" t="s">
        <v>351</v>
      </c>
      <c r="EM136" t="s">
        <v>352</v>
      </c>
      <c r="EO136" t="s">
        <v>332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69.28</v>
      </c>
      <c r="EX136">
        <v>0.02</v>
      </c>
      <c r="EY136">
        <v>0</v>
      </c>
      <c r="FQ136">
        <v>0</v>
      </c>
      <c r="FR136">
        <v>0</v>
      </c>
      <c r="FS136">
        <v>0</v>
      </c>
      <c r="FX136">
        <v>90</v>
      </c>
      <c r="FY136">
        <v>45</v>
      </c>
      <c r="GA136" t="s">
        <v>332</v>
      </c>
      <c r="GD136">
        <v>1</v>
      </c>
      <c r="GF136">
        <v>481923225</v>
      </c>
      <c r="GG136">
        <v>2</v>
      </c>
      <c r="GH136">
        <v>1</v>
      </c>
      <c r="GI136">
        <v>-2</v>
      </c>
      <c r="GJ136">
        <v>0</v>
      </c>
      <c r="GK136">
        <v>0</v>
      </c>
      <c r="GL136">
        <f t="shared" si="100"/>
        <v>0</v>
      </c>
      <c r="GM136">
        <f t="shared" si="101"/>
        <v>4630.6099999999997</v>
      </c>
      <c r="GN136">
        <f t="shared" si="102"/>
        <v>4630.6099999999997</v>
      </c>
      <c r="GO136">
        <f t="shared" si="103"/>
        <v>0</v>
      </c>
      <c r="GP136">
        <f t="shared" si="104"/>
        <v>0</v>
      </c>
      <c r="GR136">
        <v>0</v>
      </c>
      <c r="GS136">
        <v>3</v>
      </c>
      <c r="GT136">
        <v>0</v>
      </c>
      <c r="GU136" t="s">
        <v>332</v>
      </c>
      <c r="GV136">
        <f t="shared" si="105"/>
        <v>0</v>
      </c>
      <c r="GW136">
        <v>1</v>
      </c>
      <c r="GX136">
        <f t="shared" si="106"/>
        <v>0</v>
      </c>
      <c r="HA136">
        <v>0</v>
      </c>
      <c r="HB136">
        <v>0</v>
      </c>
      <c r="HC136">
        <f t="shared" si="107"/>
        <v>0</v>
      </c>
      <c r="HE136" t="s">
        <v>332</v>
      </c>
      <c r="HF136" t="s">
        <v>332</v>
      </c>
      <c r="HM136" t="s">
        <v>332</v>
      </c>
      <c r="HN136" t="s">
        <v>72</v>
      </c>
      <c r="HO136" t="s">
        <v>75</v>
      </c>
      <c r="HP136" t="s">
        <v>351</v>
      </c>
      <c r="HQ136" t="s">
        <v>351</v>
      </c>
      <c r="HS136">
        <v>0</v>
      </c>
      <c r="IK136">
        <v>0</v>
      </c>
    </row>
    <row r="137" spans="1:245" x14ac:dyDescent="0.25">
      <c r="A137">
        <v>17</v>
      </c>
      <c r="B137">
        <v>1</v>
      </c>
      <c r="E137" t="s">
        <v>293</v>
      </c>
      <c r="F137" t="s">
        <v>67</v>
      </c>
      <c r="G137" t="s">
        <v>68</v>
      </c>
      <c r="H137" t="s">
        <v>69</v>
      </c>
      <c r="I137">
        <v>-21</v>
      </c>
      <c r="J137">
        <v>0</v>
      </c>
      <c r="K137">
        <v>-21</v>
      </c>
      <c r="O137">
        <f t="shared" si="87"/>
        <v>-2410.38</v>
      </c>
      <c r="P137">
        <f>ROUND(CQ137*I137,2)</f>
        <v>-2410.38</v>
      </c>
      <c r="Q137">
        <f>ROUND(CR137*I137,2)</f>
        <v>0</v>
      </c>
      <c r="R137">
        <f>ROUND(CS137*I137,2)</f>
        <v>0</v>
      </c>
      <c r="S137">
        <f>ROUND(CT137*I137,2)</f>
        <v>0</v>
      </c>
      <c r="T137">
        <f t="shared" si="88"/>
        <v>0</v>
      </c>
      <c r="U137">
        <f>ROUND(CV137*I137,7)</f>
        <v>0</v>
      </c>
      <c r="V137">
        <f>ROUND(CW137*I137,7)</f>
        <v>0</v>
      </c>
      <c r="W137">
        <f t="shared" si="89"/>
        <v>0</v>
      </c>
      <c r="X137">
        <f t="shared" si="90"/>
        <v>0</v>
      </c>
      <c r="Y137">
        <f t="shared" si="91"/>
        <v>0</v>
      </c>
      <c r="AA137">
        <v>78397139</v>
      </c>
      <c r="AB137">
        <f t="shared" si="92"/>
        <v>69.989999999999995</v>
      </c>
      <c r="AC137">
        <f>ROUND((ES137),6)</f>
        <v>69.989999999999995</v>
      </c>
      <c r="AD137">
        <f>ROUND((((ET137)-(EU137))+AE137),6)</f>
        <v>0</v>
      </c>
      <c r="AE137">
        <f>ROUND((EU137),6)</f>
        <v>0</v>
      </c>
      <c r="AF137">
        <f>ROUND((EV137),6)</f>
        <v>0</v>
      </c>
      <c r="AG137">
        <f t="shared" si="93"/>
        <v>0</v>
      </c>
      <c r="AH137">
        <f>(EW137)</f>
        <v>0</v>
      </c>
      <c r="AI137">
        <f>(EX137)</f>
        <v>0</v>
      </c>
      <c r="AJ137">
        <f t="shared" si="94"/>
        <v>0</v>
      </c>
      <c r="AK137">
        <v>69.989999999999995</v>
      </c>
      <c r="AL137">
        <v>69.989999999999995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1.64</v>
      </c>
      <c r="BD137" t="s">
        <v>332</v>
      </c>
      <c r="BE137" t="s">
        <v>332</v>
      </c>
      <c r="BF137" t="s">
        <v>332</v>
      </c>
      <c r="BG137" t="s">
        <v>332</v>
      </c>
      <c r="BH137">
        <v>3</v>
      </c>
      <c r="BI137">
        <v>1</v>
      </c>
      <c r="BJ137" t="s">
        <v>353</v>
      </c>
      <c r="BM137">
        <v>500001</v>
      </c>
      <c r="BN137">
        <v>0</v>
      </c>
      <c r="BO137" t="s">
        <v>67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332</v>
      </c>
      <c r="BZ137">
        <v>0</v>
      </c>
      <c r="CA137">
        <v>0</v>
      </c>
      <c r="CB137" t="s">
        <v>332</v>
      </c>
      <c r="CE137">
        <v>0</v>
      </c>
      <c r="CF137">
        <v>0</v>
      </c>
      <c r="CG137">
        <v>0</v>
      </c>
      <c r="CM137">
        <v>0</v>
      </c>
      <c r="CN137" t="s">
        <v>332</v>
      </c>
      <c r="CO137">
        <v>0</v>
      </c>
      <c r="CP137">
        <f t="shared" si="95"/>
        <v>-2410.38</v>
      </c>
      <c r="CQ137">
        <f>ROUND(AL137*BC137,2)</f>
        <v>114.78</v>
      </c>
      <c r="CR137">
        <f>ROUND(AM137*BB137,2)</f>
        <v>0</v>
      </c>
      <c r="CS137">
        <f>ROUND(AN137*BS137,2)</f>
        <v>0</v>
      </c>
      <c r="CT137">
        <f>ROUND(AO137*BA137,2)</f>
        <v>0</v>
      </c>
      <c r="CU137">
        <f t="shared" si="96"/>
        <v>0</v>
      </c>
      <c r="CV137">
        <f>AH137</f>
        <v>0</v>
      </c>
      <c r="CW137">
        <f>AI137</f>
        <v>0</v>
      </c>
      <c r="CX137">
        <f t="shared" si="97"/>
        <v>0</v>
      </c>
      <c r="CY137">
        <f>0</f>
        <v>0</v>
      </c>
      <c r="CZ137">
        <f>0</f>
        <v>0</v>
      </c>
      <c r="DC137" t="s">
        <v>332</v>
      </c>
      <c r="DD137" t="s">
        <v>332</v>
      </c>
      <c r="DE137" t="s">
        <v>332</v>
      </c>
      <c r="DF137" t="s">
        <v>332</v>
      </c>
      <c r="DG137" t="s">
        <v>332</v>
      </c>
      <c r="DH137" t="s">
        <v>332</v>
      </c>
      <c r="DI137" t="s">
        <v>332</v>
      </c>
      <c r="DJ137" t="s">
        <v>332</v>
      </c>
      <c r="DK137" t="s">
        <v>332</v>
      </c>
      <c r="DL137" t="s">
        <v>332</v>
      </c>
      <c r="DM137" t="s">
        <v>332</v>
      </c>
      <c r="DN137">
        <v>0</v>
      </c>
      <c r="DO137">
        <v>0</v>
      </c>
      <c r="DP137">
        <v>1</v>
      </c>
      <c r="DQ137">
        <v>1</v>
      </c>
      <c r="DU137">
        <v>1003</v>
      </c>
      <c r="DV137" t="s">
        <v>69</v>
      </c>
      <c r="DW137" t="s">
        <v>69</v>
      </c>
      <c r="DX137">
        <v>1</v>
      </c>
      <c r="DZ137" t="s">
        <v>332</v>
      </c>
      <c r="EA137" t="s">
        <v>332</v>
      </c>
      <c r="EB137" t="s">
        <v>332</v>
      </c>
      <c r="EC137" t="s">
        <v>332</v>
      </c>
      <c r="EE137">
        <v>77313025</v>
      </c>
      <c r="EF137">
        <v>8</v>
      </c>
      <c r="EG137" t="s">
        <v>354</v>
      </c>
      <c r="EH137">
        <v>0</v>
      </c>
      <c r="EI137" t="s">
        <v>332</v>
      </c>
      <c r="EJ137">
        <v>1</v>
      </c>
      <c r="EK137">
        <v>500001</v>
      </c>
      <c r="EL137" t="s">
        <v>355</v>
      </c>
      <c r="EM137" t="s">
        <v>356</v>
      </c>
      <c r="EO137" t="s">
        <v>332</v>
      </c>
      <c r="EQ137">
        <v>0</v>
      </c>
      <c r="ER137">
        <v>69.989999999999995</v>
      </c>
      <c r="ES137">
        <v>69.989999999999995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v>0</v>
      </c>
      <c r="FS137">
        <v>0</v>
      </c>
      <c r="FX137">
        <v>0</v>
      </c>
      <c r="FY137">
        <v>0</v>
      </c>
      <c r="GA137" t="s">
        <v>332</v>
      </c>
      <c r="GD137">
        <v>1</v>
      </c>
      <c r="GF137">
        <v>154173286</v>
      </c>
      <c r="GG137">
        <v>2</v>
      </c>
      <c r="GH137">
        <v>1</v>
      </c>
      <c r="GI137">
        <v>2</v>
      </c>
      <c r="GJ137">
        <v>0</v>
      </c>
      <c r="GK137">
        <v>0</v>
      </c>
      <c r="GL137">
        <f t="shared" si="100"/>
        <v>0</v>
      </c>
      <c r="GM137">
        <f t="shared" si="101"/>
        <v>-2410.38</v>
      </c>
      <c r="GN137">
        <f t="shared" si="102"/>
        <v>-2410.38</v>
      </c>
      <c r="GO137">
        <f t="shared" si="103"/>
        <v>0</v>
      </c>
      <c r="GP137">
        <f t="shared" si="104"/>
        <v>0</v>
      </c>
      <c r="GR137">
        <v>0</v>
      </c>
      <c r="GS137">
        <v>3</v>
      </c>
      <c r="GT137">
        <v>0</v>
      </c>
      <c r="GU137" t="s">
        <v>332</v>
      </c>
      <c r="GV137">
        <f t="shared" si="105"/>
        <v>0</v>
      </c>
      <c r="GW137">
        <v>1</v>
      </c>
      <c r="GX137">
        <f t="shared" si="106"/>
        <v>0</v>
      </c>
      <c r="HA137">
        <v>0</v>
      </c>
      <c r="HB137">
        <v>0</v>
      </c>
      <c r="HC137">
        <f t="shared" si="107"/>
        <v>0</v>
      </c>
      <c r="HE137" t="s">
        <v>332</v>
      </c>
      <c r="HF137" t="s">
        <v>332</v>
      </c>
      <c r="HM137" t="s">
        <v>332</v>
      </c>
      <c r="HN137" t="s">
        <v>332</v>
      </c>
      <c r="HO137" t="s">
        <v>332</v>
      </c>
      <c r="HP137" t="s">
        <v>332</v>
      </c>
      <c r="HQ137" t="s">
        <v>332</v>
      </c>
      <c r="HS137">
        <v>0</v>
      </c>
      <c r="IK137">
        <v>0</v>
      </c>
    </row>
    <row r="139" spans="1:245" x14ac:dyDescent="0.25">
      <c r="A139" s="7">
        <v>51</v>
      </c>
      <c r="B139" s="7">
        <f>B123</f>
        <v>1</v>
      </c>
      <c r="C139" s="7">
        <f>A123</f>
        <v>4</v>
      </c>
      <c r="D139" s="7">
        <f>ROW(A123)</f>
        <v>123</v>
      </c>
      <c r="E139" s="7"/>
      <c r="F139" s="7" t="str">
        <f>IF(F123&lt;&gt;"",F123,"")</f>
        <v>Новый раздел</v>
      </c>
      <c r="G139" s="7" t="str">
        <f>IF(G123&lt;&gt;"",G123,"")</f>
        <v>Работа 3</v>
      </c>
      <c r="H139" s="7">
        <v>0</v>
      </c>
      <c r="I139" s="7"/>
      <c r="J139" s="7"/>
      <c r="K139" s="7"/>
      <c r="L139" s="7"/>
      <c r="M139" s="7"/>
      <c r="N139" s="7"/>
      <c r="O139" s="7">
        <f t="shared" ref="O139:T139" si="111">ROUND(AB139,2)</f>
        <v>6450.53</v>
      </c>
      <c r="P139" s="7">
        <f t="shared" si="111"/>
        <v>2594.37</v>
      </c>
      <c r="Q139" s="7">
        <f t="shared" si="111"/>
        <v>30.09</v>
      </c>
      <c r="R139" s="7">
        <f t="shared" si="111"/>
        <v>17.149999999999999</v>
      </c>
      <c r="S139" s="7">
        <f t="shared" si="111"/>
        <v>3808.92</v>
      </c>
      <c r="T139" s="7">
        <f t="shared" si="111"/>
        <v>0</v>
      </c>
      <c r="U139" s="7">
        <f>AH139</f>
        <v>5.3934343</v>
      </c>
      <c r="V139" s="7">
        <f>AI139</f>
        <v>2.4568099999999999E-2</v>
      </c>
      <c r="W139" s="7">
        <f>ROUND(AJ139,2)</f>
        <v>0</v>
      </c>
      <c r="X139" s="7">
        <f>ROUND(AK139,2)</f>
        <v>3731.68</v>
      </c>
      <c r="Y139" s="7">
        <f>ROUND(AL139,2)</f>
        <v>1879.18</v>
      </c>
      <c r="Z139" s="7"/>
      <c r="AA139" s="7"/>
      <c r="AB139" s="7">
        <f>ROUND(SUMIF(AA127:AA137,"=78397139",O127:O137),2)</f>
        <v>6450.53</v>
      </c>
      <c r="AC139" s="7">
        <f>ROUND(SUMIF(AA127:AA137,"=78397139",P127:P137),2)</f>
        <v>2594.37</v>
      </c>
      <c r="AD139" s="7">
        <f>ROUND(SUMIF(AA127:AA137,"=78397139",Q127:Q137),2)</f>
        <v>30.09</v>
      </c>
      <c r="AE139" s="7">
        <f>ROUND(SUMIF(AA127:AA137,"=78397139",R127:R137),2)</f>
        <v>17.149999999999999</v>
      </c>
      <c r="AF139" s="7">
        <f>ROUND(SUMIF(AA127:AA137,"=78397139",S127:S137),2)</f>
        <v>3808.92</v>
      </c>
      <c r="AG139" s="7">
        <f>ROUND(SUMIF(AA127:AA137,"=78397139",T127:T137),2)</f>
        <v>0</v>
      </c>
      <c r="AH139" s="7">
        <f>SUMIF(AA127:AA137,"=78397139",U127:U137)</f>
        <v>5.3934343</v>
      </c>
      <c r="AI139" s="7">
        <f>SUMIF(AA127:AA137,"=78397139",V127:V137)</f>
        <v>2.4568099999999999E-2</v>
      </c>
      <c r="AJ139" s="7">
        <f>ROUND(SUMIF(AA127:AA137,"=78397139",W127:W137),2)</f>
        <v>0</v>
      </c>
      <c r="AK139" s="7">
        <f>ROUND(SUMIF(AA127:AA137,"=78397139",X127:X137),2)</f>
        <v>3731.68</v>
      </c>
      <c r="AL139" s="7">
        <f>ROUND(SUMIF(AA127:AA137,"=78397139",Y127:Y137),2)</f>
        <v>1879.18</v>
      </c>
      <c r="AM139" s="7"/>
      <c r="AN139" s="7"/>
      <c r="AO139" s="7">
        <f t="shared" ref="AO139:BD139" si="112">ROUND(BX139,2)</f>
        <v>0</v>
      </c>
      <c r="AP139" s="7">
        <f t="shared" si="112"/>
        <v>0</v>
      </c>
      <c r="AQ139" s="7">
        <f t="shared" si="112"/>
        <v>0</v>
      </c>
      <c r="AR139" s="7">
        <f t="shared" si="112"/>
        <v>12061.39</v>
      </c>
      <c r="AS139" s="7">
        <f t="shared" si="112"/>
        <v>12061.39</v>
      </c>
      <c r="AT139" s="7">
        <f t="shared" si="112"/>
        <v>0</v>
      </c>
      <c r="AU139" s="7">
        <f t="shared" si="112"/>
        <v>0</v>
      </c>
      <c r="AV139" s="7">
        <f t="shared" si="112"/>
        <v>2594.37</v>
      </c>
      <c r="AW139" s="7">
        <f t="shared" si="112"/>
        <v>2594.37</v>
      </c>
      <c r="AX139" s="7">
        <f t="shared" si="112"/>
        <v>0</v>
      </c>
      <c r="AY139" s="7">
        <f t="shared" si="112"/>
        <v>2594.37</v>
      </c>
      <c r="AZ139" s="7">
        <f t="shared" si="112"/>
        <v>0</v>
      </c>
      <c r="BA139" s="7">
        <f t="shared" si="112"/>
        <v>0</v>
      </c>
      <c r="BB139" s="7">
        <f t="shared" si="112"/>
        <v>0</v>
      </c>
      <c r="BC139" s="7">
        <f t="shared" si="112"/>
        <v>0</v>
      </c>
      <c r="BD139" s="7">
        <f t="shared" si="112"/>
        <v>0</v>
      </c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>
        <f>ROUND(SUMIF(AA127:AA137,"=78397139",FQ127:FQ137),2)</f>
        <v>0</v>
      </c>
      <c r="BY139" s="7">
        <f>ROUND(SUMIF(AA127:AA137,"=78397139",FR127:FR137),2)</f>
        <v>0</v>
      </c>
      <c r="BZ139" s="7">
        <f>ROUND(SUMIF(AA127:AA137,"=78397139",GL127:GL137),2)</f>
        <v>0</v>
      </c>
      <c r="CA139" s="7">
        <f>ROUND(SUMIF(AA127:AA137,"=78397139",GM127:GM137),2)</f>
        <v>12061.39</v>
      </c>
      <c r="CB139" s="7">
        <f>ROUND(SUMIF(AA127:AA137,"=78397139",GN127:GN137),2)</f>
        <v>12061.39</v>
      </c>
      <c r="CC139" s="7">
        <f>ROUND(SUMIF(AA127:AA137,"=78397139",GO127:GO137),2)</f>
        <v>0</v>
      </c>
      <c r="CD139" s="7">
        <f>ROUND(SUMIF(AA127:AA137,"=78397139",GP127:GP137),2)</f>
        <v>0</v>
      </c>
      <c r="CE139" s="7">
        <f>AC139-BX139</f>
        <v>2594.37</v>
      </c>
      <c r="CF139" s="7">
        <f>AC139-BY139</f>
        <v>2594.37</v>
      </c>
      <c r="CG139" s="7">
        <f>BX139-BZ139</f>
        <v>0</v>
      </c>
      <c r="CH139" s="7">
        <f>AC139-BX139-BY139+BZ139</f>
        <v>2594.37</v>
      </c>
      <c r="CI139" s="7">
        <f>BY139-BZ139</f>
        <v>0</v>
      </c>
      <c r="CJ139" s="7">
        <f>ROUND(SUMIF(AA127:AA137,"=78397139",GX127:GX137),2)</f>
        <v>0</v>
      </c>
      <c r="CK139" s="7">
        <f>ROUND(SUMIF(AA127:AA137,"=78397139",GY127:GY137),2)</f>
        <v>0</v>
      </c>
      <c r="CL139" s="7">
        <f>ROUND(SUMIF(AA127:AA137,"=78397139",GZ127:GZ137),2)</f>
        <v>0</v>
      </c>
      <c r="CM139" s="7">
        <f>ROUND(SUMIF(AA127:AA137,"=78397139",HD127:HD137),2)</f>
        <v>0</v>
      </c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>
        <v>0</v>
      </c>
    </row>
    <row r="141" spans="1:245" x14ac:dyDescent="0.25">
      <c r="A141" s="4">
        <v>50</v>
      </c>
      <c r="B141" s="4">
        <v>0</v>
      </c>
      <c r="C141" s="4">
        <v>0</v>
      </c>
      <c r="D141" s="4">
        <v>1</v>
      </c>
      <c r="E141" s="4">
        <v>201</v>
      </c>
      <c r="F141" s="4">
        <f>ROUND(Source!O139,O141)</f>
        <v>6450.53</v>
      </c>
      <c r="G141" s="4" t="s">
        <v>422</v>
      </c>
      <c r="H141" s="4" t="s">
        <v>423</v>
      </c>
      <c r="I141" s="4"/>
      <c r="J141" s="4"/>
      <c r="K141" s="4">
        <v>201</v>
      </c>
      <c r="L141" s="4">
        <v>1</v>
      </c>
      <c r="M141" s="4">
        <v>3</v>
      </c>
      <c r="N141" s="4" t="s">
        <v>332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6450.53</v>
      </c>
      <c r="X141" s="4">
        <v>1</v>
      </c>
      <c r="Y141" s="4">
        <v>6450.53</v>
      </c>
      <c r="Z141" s="4"/>
      <c r="AA141" s="4"/>
      <c r="AB141" s="4"/>
    </row>
    <row r="142" spans="1:245" x14ac:dyDescent="0.25">
      <c r="A142" s="4">
        <v>50</v>
      </c>
      <c r="B142" s="4">
        <v>0</v>
      </c>
      <c r="C142" s="4">
        <v>0</v>
      </c>
      <c r="D142" s="4">
        <v>1</v>
      </c>
      <c r="E142" s="4">
        <v>202</v>
      </c>
      <c r="F142" s="4">
        <f>ROUND(Source!P139,O142)</f>
        <v>2594.37</v>
      </c>
      <c r="G142" s="4" t="s">
        <v>424</v>
      </c>
      <c r="H142" s="4" t="s">
        <v>425</v>
      </c>
      <c r="I142" s="4"/>
      <c r="J142" s="4"/>
      <c r="K142" s="4">
        <v>202</v>
      </c>
      <c r="L142" s="4">
        <v>2</v>
      </c>
      <c r="M142" s="4">
        <v>3</v>
      </c>
      <c r="N142" s="4" t="s">
        <v>332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2594.37</v>
      </c>
      <c r="X142" s="4">
        <v>1</v>
      </c>
      <c r="Y142" s="4">
        <v>2594.37</v>
      </c>
      <c r="Z142" s="4"/>
      <c r="AA142" s="4"/>
      <c r="AB142" s="4"/>
    </row>
    <row r="143" spans="1:245" x14ac:dyDescent="0.25">
      <c r="A143" s="4">
        <v>50</v>
      </c>
      <c r="B143" s="4">
        <v>0</v>
      </c>
      <c r="C143" s="4">
        <v>0</v>
      </c>
      <c r="D143" s="4">
        <v>1</v>
      </c>
      <c r="E143" s="4">
        <v>222</v>
      </c>
      <c r="F143" s="4">
        <f>ROUND(Source!AO139,O143)</f>
        <v>0</v>
      </c>
      <c r="G143" s="4" t="s">
        <v>426</v>
      </c>
      <c r="H143" s="4" t="s">
        <v>427</v>
      </c>
      <c r="I143" s="4"/>
      <c r="J143" s="4"/>
      <c r="K143" s="4">
        <v>222</v>
      </c>
      <c r="L143" s="4">
        <v>3</v>
      </c>
      <c r="M143" s="4">
        <v>3</v>
      </c>
      <c r="N143" s="4" t="s">
        <v>332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0</v>
      </c>
      <c r="X143" s="4">
        <v>1</v>
      </c>
      <c r="Y143" s="4">
        <v>0</v>
      </c>
      <c r="Z143" s="4"/>
      <c r="AA143" s="4"/>
      <c r="AB143" s="4"/>
    </row>
    <row r="144" spans="1:245" x14ac:dyDescent="0.25">
      <c r="A144" s="4">
        <v>50</v>
      </c>
      <c r="B144" s="4">
        <v>0</v>
      </c>
      <c r="C144" s="4">
        <v>0</v>
      </c>
      <c r="D144" s="4">
        <v>1</v>
      </c>
      <c r="E144" s="4">
        <v>225</v>
      </c>
      <c r="F144" s="4">
        <f>ROUND(Source!AV139,O144)</f>
        <v>2594.37</v>
      </c>
      <c r="G144" s="4" t="s">
        <v>428</v>
      </c>
      <c r="H144" s="4" t="s">
        <v>429</v>
      </c>
      <c r="I144" s="4"/>
      <c r="J144" s="4"/>
      <c r="K144" s="4">
        <v>225</v>
      </c>
      <c r="L144" s="4">
        <v>4</v>
      </c>
      <c r="M144" s="4">
        <v>3</v>
      </c>
      <c r="N144" s="4" t="s">
        <v>332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2594.37</v>
      </c>
      <c r="X144" s="4">
        <v>1</v>
      </c>
      <c r="Y144" s="4">
        <v>2594.37</v>
      </c>
      <c r="Z144" s="4"/>
      <c r="AA144" s="4"/>
      <c r="AB144" s="4"/>
    </row>
    <row r="145" spans="1:28" x14ac:dyDescent="0.25">
      <c r="A145" s="4">
        <v>50</v>
      </c>
      <c r="B145" s="4">
        <v>0</v>
      </c>
      <c r="C145" s="4">
        <v>0</v>
      </c>
      <c r="D145" s="4">
        <v>1</v>
      </c>
      <c r="E145" s="4">
        <v>226</v>
      </c>
      <c r="F145" s="4">
        <f>ROUND(Source!AW139,O145)</f>
        <v>2594.37</v>
      </c>
      <c r="G145" s="4" t="s">
        <v>430</v>
      </c>
      <c r="H145" s="4" t="s">
        <v>431</v>
      </c>
      <c r="I145" s="4"/>
      <c r="J145" s="4"/>
      <c r="K145" s="4">
        <v>226</v>
      </c>
      <c r="L145" s="4">
        <v>5</v>
      </c>
      <c r="M145" s="4">
        <v>3</v>
      </c>
      <c r="N145" s="4" t="s">
        <v>332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2594.37</v>
      </c>
      <c r="X145" s="4">
        <v>1</v>
      </c>
      <c r="Y145" s="4">
        <v>2594.37</v>
      </c>
      <c r="Z145" s="4"/>
      <c r="AA145" s="4"/>
      <c r="AB145" s="4"/>
    </row>
    <row r="146" spans="1:28" x14ac:dyDescent="0.25">
      <c r="A146" s="4">
        <v>50</v>
      </c>
      <c r="B146" s="4">
        <v>0</v>
      </c>
      <c r="C146" s="4">
        <v>0</v>
      </c>
      <c r="D146" s="4">
        <v>1</v>
      </c>
      <c r="E146" s="4">
        <v>227</v>
      </c>
      <c r="F146" s="4">
        <f>ROUND(Source!AX139,O146)</f>
        <v>0</v>
      </c>
      <c r="G146" s="4" t="s">
        <v>432</v>
      </c>
      <c r="H146" s="4" t="s">
        <v>433</v>
      </c>
      <c r="I146" s="4"/>
      <c r="J146" s="4"/>
      <c r="K146" s="4">
        <v>227</v>
      </c>
      <c r="L146" s="4">
        <v>6</v>
      </c>
      <c r="M146" s="4">
        <v>3</v>
      </c>
      <c r="N146" s="4" t="s">
        <v>332</v>
      </c>
      <c r="O146" s="4">
        <v>2</v>
      </c>
      <c r="P146" s="4"/>
      <c r="Q146" s="4"/>
      <c r="R146" s="4"/>
      <c r="S146" s="4"/>
      <c r="T146" s="4"/>
      <c r="U146" s="4"/>
      <c r="V146" s="4"/>
      <c r="W146" s="4">
        <v>0</v>
      </c>
      <c r="X146" s="4">
        <v>1</v>
      </c>
      <c r="Y146" s="4">
        <v>0</v>
      </c>
      <c r="Z146" s="4"/>
      <c r="AA146" s="4"/>
      <c r="AB146" s="4"/>
    </row>
    <row r="147" spans="1:28" x14ac:dyDescent="0.25">
      <c r="A147" s="4">
        <v>50</v>
      </c>
      <c r="B147" s="4">
        <v>0</v>
      </c>
      <c r="C147" s="4">
        <v>0</v>
      </c>
      <c r="D147" s="4">
        <v>1</v>
      </c>
      <c r="E147" s="4">
        <v>228</v>
      </c>
      <c r="F147" s="4">
        <f>ROUND(Source!AY139,O147)</f>
        <v>2594.37</v>
      </c>
      <c r="G147" s="4" t="s">
        <v>434</v>
      </c>
      <c r="H147" s="4" t="s">
        <v>435</v>
      </c>
      <c r="I147" s="4"/>
      <c r="J147" s="4"/>
      <c r="K147" s="4">
        <v>228</v>
      </c>
      <c r="L147" s="4">
        <v>7</v>
      </c>
      <c r="M147" s="4">
        <v>3</v>
      </c>
      <c r="N147" s="4" t="s">
        <v>332</v>
      </c>
      <c r="O147" s="4">
        <v>2</v>
      </c>
      <c r="P147" s="4"/>
      <c r="Q147" s="4"/>
      <c r="R147" s="4"/>
      <c r="S147" s="4"/>
      <c r="T147" s="4"/>
      <c r="U147" s="4"/>
      <c r="V147" s="4"/>
      <c r="W147" s="4">
        <v>2594.37</v>
      </c>
      <c r="X147" s="4">
        <v>1</v>
      </c>
      <c r="Y147" s="4">
        <v>2594.37</v>
      </c>
      <c r="Z147" s="4"/>
      <c r="AA147" s="4"/>
      <c r="AB147" s="4"/>
    </row>
    <row r="148" spans="1:28" x14ac:dyDescent="0.25">
      <c r="A148" s="4">
        <v>50</v>
      </c>
      <c r="B148" s="4">
        <v>0</v>
      </c>
      <c r="C148" s="4">
        <v>0</v>
      </c>
      <c r="D148" s="4">
        <v>1</v>
      </c>
      <c r="E148" s="4">
        <v>216</v>
      </c>
      <c r="F148" s="4">
        <f>ROUND(Source!AP139,O148)</f>
        <v>0</v>
      </c>
      <c r="G148" s="4" t="s">
        <v>436</v>
      </c>
      <c r="H148" s="4" t="s">
        <v>437</v>
      </c>
      <c r="I148" s="4"/>
      <c r="J148" s="4"/>
      <c r="K148" s="4">
        <v>216</v>
      </c>
      <c r="L148" s="4">
        <v>8</v>
      </c>
      <c r="M148" s="4">
        <v>3</v>
      </c>
      <c r="N148" s="4" t="s">
        <v>332</v>
      </c>
      <c r="O148" s="4">
        <v>2</v>
      </c>
      <c r="P148" s="4"/>
      <c r="Q148" s="4"/>
      <c r="R148" s="4"/>
      <c r="S148" s="4"/>
      <c r="T148" s="4"/>
      <c r="U148" s="4"/>
      <c r="V148" s="4"/>
      <c r="W148" s="4">
        <v>0</v>
      </c>
      <c r="X148" s="4">
        <v>1</v>
      </c>
      <c r="Y148" s="4">
        <v>0</v>
      </c>
      <c r="Z148" s="4"/>
      <c r="AA148" s="4"/>
      <c r="AB148" s="4"/>
    </row>
    <row r="149" spans="1:28" x14ac:dyDescent="0.25">
      <c r="A149" s="4">
        <v>50</v>
      </c>
      <c r="B149" s="4">
        <v>0</v>
      </c>
      <c r="C149" s="4">
        <v>0</v>
      </c>
      <c r="D149" s="4">
        <v>1</v>
      </c>
      <c r="E149" s="4">
        <v>223</v>
      </c>
      <c r="F149" s="4">
        <f>ROUND(Source!AQ139,O149)</f>
        <v>0</v>
      </c>
      <c r="G149" s="4" t="s">
        <v>438</v>
      </c>
      <c r="H149" s="4" t="s">
        <v>439</v>
      </c>
      <c r="I149" s="4"/>
      <c r="J149" s="4"/>
      <c r="K149" s="4">
        <v>223</v>
      </c>
      <c r="L149" s="4">
        <v>9</v>
      </c>
      <c r="M149" s="4">
        <v>3</v>
      </c>
      <c r="N149" s="4" t="s">
        <v>332</v>
      </c>
      <c r="O149" s="4">
        <v>2</v>
      </c>
      <c r="P149" s="4"/>
      <c r="Q149" s="4"/>
      <c r="R149" s="4"/>
      <c r="S149" s="4"/>
      <c r="T149" s="4"/>
      <c r="U149" s="4"/>
      <c r="V149" s="4"/>
      <c r="W149" s="4">
        <v>0</v>
      </c>
      <c r="X149" s="4">
        <v>1</v>
      </c>
      <c r="Y149" s="4">
        <v>0</v>
      </c>
      <c r="Z149" s="4"/>
      <c r="AA149" s="4"/>
      <c r="AB149" s="4"/>
    </row>
    <row r="150" spans="1:28" x14ac:dyDescent="0.25">
      <c r="A150" s="4">
        <v>50</v>
      </c>
      <c r="B150" s="4">
        <v>0</v>
      </c>
      <c r="C150" s="4">
        <v>0</v>
      </c>
      <c r="D150" s="4">
        <v>1</v>
      </c>
      <c r="E150" s="4">
        <v>229</v>
      </c>
      <c r="F150" s="4">
        <f>ROUND(Source!AZ139,O150)</f>
        <v>0</v>
      </c>
      <c r="G150" s="4" t="s">
        <v>440</v>
      </c>
      <c r="H150" s="4" t="s">
        <v>441</v>
      </c>
      <c r="I150" s="4"/>
      <c r="J150" s="4"/>
      <c r="K150" s="4">
        <v>229</v>
      </c>
      <c r="L150" s="4">
        <v>10</v>
      </c>
      <c r="M150" s="4">
        <v>3</v>
      </c>
      <c r="N150" s="4" t="s">
        <v>332</v>
      </c>
      <c r="O150" s="4">
        <v>2</v>
      </c>
      <c r="P150" s="4"/>
      <c r="Q150" s="4"/>
      <c r="R150" s="4"/>
      <c r="S150" s="4"/>
      <c r="T150" s="4"/>
      <c r="U150" s="4"/>
      <c r="V150" s="4"/>
      <c r="W150" s="4">
        <v>0</v>
      </c>
      <c r="X150" s="4">
        <v>1</v>
      </c>
      <c r="Y150" s="4">
        <v>0</v>
      </c>
      <c r="Z150" s="4"/>
      <c r="AA150" s="4"/>
      <c r="AB150" s="4"/>
    </row>
    <row r="151" spans="1:28" x14ac:dyDescent="0.25">
      <c r="A151" s="4">
        <v>50</v>
      </c>
      <c r="B151" s="4">
        <v>0</v>
      </c>
      <c r="C151" s="4">
        <v>0</v>
      </c>
      <c r="D151" s="4">
        <v>1</v>
      </c>
      <c r="E151" s="4">
        <v>203</v>
      </c>
      <c r="F151" s="4">
        <f>ROUND(Source!Q139,O151)</f>
        <v>30.09</v>
      </c>
      <c r="G151" s="4" t="s">
        <v>442</v>
      </c>
      <c r="H151" s="4" t="s">
        <v>443</v>
      </c>
      <c r="I151" s="4"/>
      <c r="J151" s="4"/>
      <c r="K151" s="4">
        <v>203</v>
      </c>
      <c r="L151" s="4">
        <v>11</v>
      </c>
      <c r="M151" s="4">
        <v>3</v>
      </c>
      <c r="N151" s="4" t="s">
        <v>332</v>
      </c>
      <c r="O151" s="4">
        <v>2</v>
      </c>
      <c r="P151" s="4"/>
      <c r="Q151" s="4"/>
      <c r="R151" s="4"/>
      <c r="S151" s="4"/>
      <c r="T151" s="4"/>
      <c r="U151" s="4"/>
      <c r="V151" s="4"/>
      <c r="W151" s="4">
        <v>30.09</v>
      </c>
      <c r="X151" s="4">
        <v>1</v>
      </c>
      <c r="Y151" s="4">
        <v>30.09</v>
      </c>
      <c r="Z151" s="4"/>
      <c r="AA151" s="4"/>
      <c r="AB151" s="4"/>
    </row>
    <row r="152" spans="1:28" x14ac:dyDescent="0.25">
      <c r="A152" s="4">
        <v>50</v>
      </c>
      <c r="B152" s="4">
        <v>0</v>
      </c>
      <c r="C152" s="4">
        <v>0</v>
      </c>
      <c r="D152" s="4">
        <v>1</v>
      </c>
      <c r="E152" s="4">
        <v>231</v>
      </c>
      <c r="F152" s="4">
        <f>ROUND(Source!BB139,O152)</f>
        <v>0</v>
      </c>
      <c r="G152" s="4" t="s">
        <v>444</v>
      </c>
      <c r="H152" s="4" t="s">
        <v>445</v>
      </c>
      <c r="I152" s="4"/>
      <c r="J152" s="4"/>
      <c r="K152" s="4">
        <v>231</v>
      </c>
      <c r="L152" s="4">
        <v>12</v>
      </c>
      <c r="M152" s="4">
        <v>3</v>
      </c>
      <c r="N152" s="4" t="s">
        <v>332</v>
      </c>
      <c r="O152" s="4">
        <v>2</v>
      </c>
      <c r="P152" s="4"/>
      <c r="Q152" s="4"/>
      <c r="R152" s="4"/>
      <c r="S152" s="4"/>
      <c r="T152" s="4"/>
      <c r="U152" s="4"/>
      <c r="V152" s="4"/>
      <c r="W152" s="4">
        <v>0</v>
      </c>
      <c r="X152" s="4">
        <v>1</v>
      </c>
      <c r="Y152" s="4">
        <v>0</v>
      </c>
      <c r="Z152" s="4"/>
      <c r="AA152" s="4"/>
      <c r="AB152" s="4"/>
    </row>
    <row r="153" spans="1:28" x14ac:dyDescent="0.25">
      <c r="A153" s="4">
        <v>50</v>
      </c>
      <c r="B153" s="4">
        <v>0</v>
      </c>
      <c r="C153" s="4">
        <v>0</v>
      </c>
      <c r="D153" s="4">
        <v>1</v>
      </c>
      <c r="E153" s="4">
        <v>204</v>
      </c>
      <c r="F153" s="4">
        <f>ROUND(Source!R139,O153)</f>
        <v>17.149999999999999</v>
      </c>
      <c r="G153" s="4" t="s">
        <v>446</v>
      </c>
      <c r="H153" s="4" t="s">
        <v>447</v>
      </c>
      <c r="I153" s="4"/>
      <c r="J153" s="4"/>
      <c r="K153" s="4">
        <v>204</v>
      </c>
      <c r="L153" s="4">
        <v>13</v>
      </c>
      <c r="M153" s="4">
        <v>3</v>
      </c>
      <c r="N153" s="4" t="s">
        <v>332</v>
      </c>
      <c r="O153" s="4">
        <v>2</v>
      </c>
      <c r="P153" s="4"/>
      <c r="Q153" s="4"/>
      <c r="R153" s="4"/>
      <c r="S153" s="4"/>
      <c r="T153" s="4"/>
      <c r="U153" s="4"/>
      <c r="V153" s="4"/>
      <c r="W153" s="4">
        <v>17.149999999999999</v>
      </c>
      <c r="X153" s="4">
        <v>1</v>
      </c>
      <c r="Y153" s="4">
        <v>17.149999999999999</v>
      </c>
      <c r="Z153" s="4"/>
      <c r="AA153" s="4"/>
      <c r="AB153" s="4"/>
    </row>
    <row r="154" spans="1:28" x14ac:dyDescent="0.25">
      <c r="A154" s="4">
        <v>50</v>
      </c>
      <c r="B154" s="4">
        <v>0</v>
      </c>
      <c r="C154" s="4">
        <v>0</v>
      </c>
      <c r="D154" s="4">
        <v>1</v>
      </c>
      <c r="E154" s="4">
        <v>205</v>
      </c>
      <c r="F154" s="4">
        <f>ROUND(Source!S139,O154)</f>
        <v>3808.92</v>
      </c>
      <c r="G154" s="4" t="s">
        <v>448</v>
      </c>
      <c r="H154" s="4" t="s">
        <v>449</v>
      </c>
      <c r="I154" s="4"/>
      <c r="J154" s="4"/>
      <c r="K154" s="4">
        <v>205</v>
      </c>
      <c r="L154" s="4">
        <v>14</v>
      </c>
      <c r="M154" s="4">
        <v>3</v>
      </c>
      <c r="N154" s="4" t="s">
        <v>332</v>
      </c>
      <c r="O154" s="4">
        <v>2</v>
      </c>
      <c r="P154" s="4"/>
      <c r="Q154" s="4"/>
      <c r="R154" s="4"/>
      <c r="S154" s="4"/>
      <c r="T154" s="4"/>
      <c r="U154" s="4"/>
      <c r="V154" s="4"/>
      <c r="W154" s="4">
        <v>3808.92</v>
      </c>
      <c r="X154" s="4">
        <v>1</v>
      </c>
      <c r="Y154" s="4">
        <v>3808.92</v>
      </c>
      <c r="Z154" s="4"/>
      <c r="AA154" s="4"/>
      <c r="AB154" s="4"/>
    </row>
    <row r="155" spans="1:28" x14ac:dyDescent="0.25">
      <c r="A155" s="4">
        <v>50</v>
      </c>
      <c r="B155" s="4">
        <v>0</v>
      </c>
      <c r="C155" s="4">
        <v>0</v>
      </c>
      <c r="D155" s="4">
        <v>1</v>
      </c>
      <c r="E155" s="4">
        <v>232</v>
      </c>
      <c r="F155" s="4">
        <f>ROUND(Source!BC139,O155)</f>
        <v>0</v>
      </c>
      <c r="G155" s="4" t="s">
        <v>450</v>
      </c>
      <c r="H155" s="4" t="s">
        <v>451</v>
      </c>
      <c r="I155" s="4"/>
      <c r="J155" s="4"/>
      <c r="K155" s="4">
        <v>232</v>
      </c>
      <c r="L155" s="4">
        <v>15</v>
      </c>
      <c r="M155" s="4">
        <v>3</v>
      </c>
      <c r="N155" s="4" t="s">
        <v>332</v>
      </c>
      <c r="O155" s="4">
        <v>2</v>
      </c>
      <c r="P155" s="4"/>
      <c r="Q155" s="4"/>
      <c r="R155" s="4"/>
      <c r="S155" s="4"/>
      <c r="T155" s="4"/>
      <c r="U155" s="4"/>
      <c r="V155" s="4"/>
      <c r="W155" s="4">
        <v>0</v>
      </c>
      <c r="X155" s="4">
        <v>1</v>
      </c>
      <c r="Y155" s="4">
        <v>0</v>
      </c>
      <c r="Z155" s="4"/>
      <c r="AA155" s="4"/>
      <c r="AB155" s="4"/>
    </row>
    <row r="156" spans="1:28" x14ac:dyDescent="0.25">
      <c r="A156" s="4">
        <v>50</v>
      </c>
      <c r="B156" s="4">
        <v>0</v>
      </c>
      <c r="C156" s="4">
        <v>0</v>
      </c>
      <c r="D156" s="4">
        <v>1</v>
      </c>
      <c r="E156" s="4">
        <v>214</v>
      </c>
      <c r="F156" s="4">
        <f>ROUND(Source!AS139,O156)</f>
        <v>12061.39</v>
      </c>
      <c r="G156" s="4" t="s">
        <v>452</v>
      </c>
      <c r="H156" s="4" t="s">
        <v>453</v>
      </c>
      <c r="I156" s="4"/>
      <c r="J156" s="4"/>
      <c r="K156" s="4">
        <v>214</v>
      </c>
      <c r="L156" s="4">
        <v>16</v>
      </c>
      <c r="M156" s="4">
        <v>3</v>
      </c>
      <c r="N156" s="4" t="s">
        <v>332</v>
      </c>
      <c r="O156" s="4">
        <v>2</v>
      </c>
      <c r="P156" s="4"/>
      <c r="Q156" s="4"/>
      <c r="R156" s="4"/>
      <c r="S156" s="4"/>
      <c r="T156" s="4"/>
      <c r="U156" s="4"/>
      <c r="V156" s="4"/>
      <c r="W156" s="4">
        <v>12061.39</v>
      </c>
      <c r="X156" s="4">
        <v>1</v>
      </c>
      <c r="Y156" s="4">
        <v>12061.39</v>
      </c>
      <c r="Z156" s="4"/>
      <c r="AA156" s="4"/>
      <c r="AB156" s="4"/>
    </row>
    <row r="157" spans="1:28" x14ac:dyDescent="0.25">
      <c r="A157" s="4">
        <v>50</v>
      </c>
      <c r="B157" s="4">
        <v>0</v>
      </c>
      <c r="C157" s="4">
        <v>0</v>
      </c>
      <c r="D157" s="4">
        <v>1</v>
      </c>
      <c r="E157" s="4">
        <v>215</v>
      </c>
      <c r="F157" s="4">
        <f>ROUND(Source!AT139,O157)</f>
        <v>0</v>
      </c>
      <c r="G157" s="4" t="s">
        <v>454</v>
      </c>
      <c r="H157" s="4" t="s">
        <v>455</v>
      </c>
      <c r="I157" s="4"/>
      <c r="J157" s="4"/>
      <c r="K157" s="4">
        <v>215</v>
      </c>
      <c r="L157" s="4">
        <v>17</v>
      </c>
      <c r="M157" s="4">
        <v>3</v>
      </c>
      <c r="N157" s="4" t="s">
        <v>332</v>
      </c>
      <c r="O157" s="4">
        <v>2</v>
      </c>
      <c r="P157" s="4"/>
      <c r="Q157" s="4"/>
      <c r="R157" s="4"/>
      <c r="S157" s="4"/>
      <c r="T157" s="4"/>
      <c r="U157" s="4"/>
      <c r="V157" s="4"/>
      <c r="W157" s="4">
        <v>0</v>
      </c>
      <c r="X157" s="4">
        <v>1</v>
      </c>
      <c r="Y157" s="4">
        <v>0</v>
      </c>
      <c r="Z157" s="4"/>
      <c r="AA157" s="4"/>
      <c r="AB157" s="4"/>
    </row>
    <row r="158" spans="1:28" x14ac:dyDescent="0.25">
      <c r="A158" s="4">
        <v>50</v>
      </c>
      <c r="B158" s="4">
        <v>0</v>
      </c>
      <c r="C158" s="4">
        <v>0</v>
      </c>
      <c r="D158" s="4">
        <v>1</v>
      </c>
      <c r="E158" s="4">
        <v>217</v>
      </c>
      <c r="F158" s="4">
        <f>ROUND(Source!AU139,O158)</f>
        <v>0</v>
      </c>
      <c r="G158" s="4" t="s">
        <v>456</v>
      </c>
      <c r="H158" s="4" t="s">
        <v>457</v>
      </c>
      <c r="I158" s="4"/>
      <c r="J158" s="4"/>
      <c r="K158" s="4">
        <v>217</v>
      </c>
      <c r="L158" s="4">
        <v>18</v>
      </c>
      <c r="M158" s="4">
        <v>3</v>
      </c>
      <c r="N158" s="4" t="s">
        <v>332</v>
      </c>
      <c r="O158" s="4">
        <v>2</v>
      </c>
      <c r="P158" s="4"/>
      <c r="Q158" s="4"/>
      <c r="R158" s="4"/>
      <c r="S158" s="4"/>
      <c r="T158" s="4"/>
      <c r="U158" s="4"/>
      <c r="V158" s="4"/>
      <c r="W158" s="4">
        <v>0</v>
      </c>
      <c r="X158" s="4">
        <v>1</v>
      </c>
      <c r="Y158" s="4">
        <v>0</v>
      </c>
      <c r="Z158" s="4"/>
      <c r="AA158" s="4"/>
      <c r="AB158" s="4"/>
    </row>
    <row r="159" spans="1:28" x14ac:dyDescent="0.25">
      <c r="A159" s="4">
        <v>50</v>
      </c>
      <c r="B159" s="4">
        <v>0</v>
      </c>
      <c r="C159" s="4">
        <v>0</v>
      </c>
      <c r="D159" s="4">
        <v>1</v>
      </c>
      <c r="E159" s="4">
        <v>230</v>
      </c>
      <c r="F159" s="4">
        <f>ROUND(Source!BA139,O159)</f>
        <v>0</v>
      </c>
      <c r="G159" s="4" t="s">
        <v>458</v>
      </c>
      <c r="H159" s="4" t="s">
        <v>459</v>
      </c>
      <c r="I159" s="4"/>
      <c r="J159" s="4"/>
      <c r="K159" s="4">
        <v>230</v>
      </c>
      <c r="L159" s="4">
        <v>19</v>
      </c>
      <c r="M159" s="4">
        <v>3</v>
      </c>
      <c r="N159" s="4" t="s">
        <v>332</v>
      </c>
      <c r="O159" s="4">
        <v>2</v>
      </c>
      <c r="P159" s="4"/>
      <c r="Q159" s="4"/>
      <c r="R159" s="4"/>
      <c r="S159" s="4"/>
      <c r="T159" s="4"/>
      <c r="U159" s="4"/>
      <c r="V159" s="4"/>
      <c r="W159" s="4">
        <v>0</v>
      </c>
      <c r="X159" s="4">
        <v>1</v>
      </c>
      <c r="Y159" s="4">
        <v>0</v>
      </c>
      <c r="Z159" s="4"/>
      <c r="AA159" s="4"/>
      <c r="AB159" s="4"/>
    </row>
    <row r="160" spans="1:28" x14ac:dyDescent="0.25">
      <c r="A160" s="4">
        <v>50</v>
      </c>
      <c r="B160" s="4">
        <v>0</v>
      </c>
      <c r="C160" s="4">
        <v>0</v>
      </c>
      <c r="D160" s="4">
        <v>1</v>
      </c>
      <c r="E160" s="4">
        <v>206</v>
      </c>
      <c r="F160" s="4">
        <f>ROUND(Source!T139,O160)</f>
        <v>0</v>
      </c>
      <c r="G160" s="4" t="s">
        <v>460</v>
      </c>
      <c r="H160" s="4" t="s">
        <v>461</v>
      </c>
      <c r="I160" s="4"/>
      <c r="J160" s="4"/>
      <c r="K160" s="4">
        <v>206</v>
      </c>
      <c r="L160" s="4">
        <v>20</v>
      </c>
      <c r="M160" s="4">
        <v>3</v>
      </c>
      <c r="N160" s="4" t="s">
        <v>332</v>
      </c>
      <c r="O160" s="4">
        <v>2</v>
      </c>
      <c r="P160" s="4"/>
      <c r="Q160" s="4"/>
      <c r="R160" s="4"/>
      <c r="S160" s="4"/>
      <c r="T160" s="4"/>
      <c r="U160" s="4"/>
      <c r="V160" s="4"/>
      <c r="W160" s="4">
        <v>0</v>
      </c>
      <c r="X160" s="4">
        <v>1</v>
      </c>
      <c r="Y160" s="4">
        <v>0</v>
      </c>
      <c r="Z160" s="4"/>
      <c r="AA160" s="4"/>
      <c r="AB160" s="4"/>
    </row>
    <row r="161" spans="1:245" x14ac:dyDescent="0.25">
      <c r="A161" s="4">
        <v>50</v>
      </c>
      <c r="B161" s="4">
        <v>0</v>
      </c>
      <c r="C161" s="4">
        <v>0</v>
      </c>
      <c r="D161" s="4">
        <v>1</v>
      </c>
      <c r="E161" s="4">
        <v>207</v>
      </c>
      <c r="F161" s="4">
        <f>ROUND(Source!U139,O161)</f>
        <v>5.3934343</v>
      </c>
      <c r="G161" s="4" t="s">
        <v>462</v>
      </c>
      <c r="H161" s="4" t="s">
        <v>463</v>
      </c>
      <c r="I161" s="4"/>
      <c r="J161" s="4"/>
      <c r="K161" s="4">
        <v>207</v>
      </c>
      <c r="L161" s="4">
        <v>21</v>
      </c>
      <c r="M161" s="4">
        <v>3</v>
      </c>
      <c r="N161" s="4" t="s">
        <v>332</v>
      </c>
      <c r="O161" s="4">
        <v>7</v>
      </c>
      <c r="P161" s="4"/>
      <c r="Q161" s="4"/>
      <c r="R161" s="4"/>
      <c r="S161" s="4"/>
      <c r="T161" s="4"/>
      <c r="U161" s="4"/>
      <c r="V161" s="4"/>
      <c r="W161" s="4">
        <v>5.3934343</v>
      </c>
      <c r="X161" s="4">
        <v>1</v>
      </c>
      <c r="Y161" s="4">
        <v>5.3934343</v>
      </c>
      <c r="Z161" s="4"/>
      <c r="AA161" s="4"/>
      <c r="AB161" s="4"/>
    </row>
    <row r="162" spans="1:245" x14ac:dyDescent="0.25">
      <c r="A162" s="4">
        <v>50</v>
      </c>
      <c r="B162" s="4">
        <v>0</v>
      </c>
      <c r="C162" s="4">
        <v>0</v>
      </c>
      <c r="D162" s="4">
        <v>1</v>
      </c>
      <c r="E162" s="4">
        <v>208</v>
      </c>
      <c r="F162" s="4">
        <f>ROUND(Source!V139,O162)</f>
        <v>2.4568099999999999E-2</v>
      </c>
      <c r="G162" s="4" t="s">
        <v>464</v>
      </c>
      <c r="H162" s="4" t="s">
        <v>465</v>
      </c>
      <c r="I162" s="4"/>
      <c r="J162" s="4"/>
      <c r="K162" s="4">
        <v>208</v>
      </c>
      <c r="L162" s="4">
        <v>22</v>
      </c>
      <c r="M162" s="4">
        <v>3</v>
      </c>
      <c r="N162" s="4" t="s">
        <v>332</v>
      </c>
      <c r="O162" s="4">
        <v>7</v>
      </c>
      <c r="P162" s="4"/>
      <c r="Q162" s="4"/>
      <c r="R162" s="4"/>
      <c r="S162" s="4"/>
      <c r="T162" s="4"/>
      <c r="U162" s="4"/>
      <c r="V162" s="4"/>
      <c r="W162" s="4">
        <v>2.4568099999999999E-2</v>
      </c>
      <c r="X162" s="4">
        <v>1</v>
      </c>
      <c r="Y162" s="4">
        <v>2.4568099999999999E-2</v>
      </c>
      <c r="Z162" s="4"/>
      <c r="AA162" s="4"/>
      <c r="AB162" s="4"/>
    </row>
    <row r="163" spans="1:245" x14ac:dyDescent="0.25">
      <c r="A163" s="4">
        <v>50</v>
      </c>
      <c r="B163" s="4">
        <v>0</v>
      </c>
      <c r="C163" s="4">
        <v>0</v>
      </c>
      <c r="D163" s="4">
        <v>1</v>
      </c>
      <c r="E163" s="4">
        <v>209</v>
      </c>
      <c r="F163" s="4">
        <f>ROUND(Source!W139,O163)</f>
        <v>0</v>
      </c>
      <c r="G163" s="4" t="s">
        <v>466</v>
      </c>
      <c r="H163" s="4" t="s">
        <v>467</v>
      </c>
      <c r="I163" s="4"/>
      <c r="J163" s="4"/>
      <c r="K163" s="4">
        <v>209</v>
      </c>
      <c r="L163" s="4">
        <v>23</v>
      </c>
      <c r="M163" s="4">
        <v>3</v>
      </c>
      <c r="N163" s="4" t="s">
        <v>332</v>
      </c>
      <c r="O163" s="4">
        <v>2</v>
      </c>
      <c r="P163" s="4"/>
      <c r="Q163" s="4"/>
      <c r="R163" s="4"/>
      <c r="S163" s="4"/>
      <c r="T163" s="4"/>
      <c r="U163" s="4"/>
      <c r="V163" s="4"/>
      <c r="W163" s="4">
        <v>0</v>
      </c>
      <c r="X163" s="4">
        <v>1</v>
      </c>
      <c r="Y163" s="4">
        <v>0</v>
      </c>
      <c r="Z163" s="4"/>
      <c r="AA163" s="4"/>
      <c r="AB163" s="4"/>
    </row>
    <row r="164" spans="1:245" x14ac:dyDescent="0.25">
      <c r="A164" s="4">
        <v>50</v>
      </c>
      <c r="B164" s="4">
        <v>0</v>
      </c>
      <c r="C164" s="4">
        <v>0</v>
      </c>
      <c r="D164" s="4">
        <v>1</v>
      </c>
      <c r="E164" s="4">
        <v>233</v>
      </c>
      <c r="F164" s="4">
        <f>ROUND(Source!BD139,O164)</f>
        <v>0</v>
      </c>
      <c r="G164" s="4" t="s">
        <v>468</v>
      </c>
      <c r="H164" s="4" t="s">
        <v>469</v>
      </c>
      <c r="I164" s="4"/>
      <c r="J164" s="4"/>
      <c r="K164" s="4">
        <v>233</v>
      </c>
      <c r="L164" s="4">
        <v>24</v>
      </c>
      <c r="M164" s="4">
        <v>3</v>
      </c>
      <c r="N164" s="4" t="s">
        <v>332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0</v>
      </c>
      <c r="X164" s="4">
        <v>1</v>
      </c>
      <c r="Y164" s="4">
        <v>0</v>
      </c>
      <c r="Z164" s="4"/>
      <c r="AA164" s="4"/>
      <c r="AB164" s="4"/>
    </row>
    <row r="165" spans="1:245" x14ac:dyDescent="0.25">
      <c r="A165" s="4">
        <v>50</v>
      </c>
      <c r="B165" s="4">
        <v>0</v>
      </c>
      <c r="C165" s="4">
        <v>0</v>
      </c>
      <c r="D165" s="4">
        <v>1</v>
      </c>
      <c r="E165" s="4">
        <v>210</v>
      </c>
      <c r="F165" s="4">
        <f>ROUND(Source!X139,O165)</f>
        <v>3731.68</v>
      </c>
      <c r="G165" s="4" t="s">
        <v>470</v>
      </c>
      <c r="H165" s="4" t="s">
        <v>471</v>
      </c>
      <c r="I165" s="4"/>
      <c r="J165" s="4"/>
      <c r="K165" s="4">
        <v>210</v>
      </c>
      <c r="L165" s="4">
        <v>25</v>
      </c>
      <c r="M165" s="4">
        <v>3</v>
      </c>
      <c r="N165" s="4" t="s">
        <v>332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3731.68</v>
      </c>
      <c r="X165" s="4">
        <v>1</v>
      </c>
      <c r="Y165" s="4">
        <v>3731.68</v>
      </c>
      <c r="Z165" s="4"/>
      <c r="AA165" s="4"/>
      <c r="AB165" s="4"/>
    </row>
    <row r="166" spans="1:245" x14ac:dyDescent="0.25">
      <c r="A166" s="4">
        <v>50</v>
      </c>
      <c r="B166" s="4">
        <v>0</v>
      </c>
      <c r="C166" s="4">
        <v>0</v>
      </c>
      <c r="D166" s="4">
        <v>1</v>
      </c>
      <c r="E166" s="4">
        <v>211</v>
      </c>
      <c r="F166" s="4">
        <f>ROUND(Source!Y139,O166)</f>
        <v>1879.18</v>
      </c>
      <c r="G166" s="4" t="s">
        <v>472</v>
      </c>
      <c r="H166" s="4" t="s">
        <v>473</v>
      </c>
      <c r="I166" s="4"/>
      <c r="J166" s="4"/>
      <c r="K166" s="4">
        <v>211</v>
      </c>
      <c r="L166" s="4">
        <v>26</v>
      </c>
      <c r="M166" s="4">
        <v>3</v>
      </c>
      <c r="N166" s="4" t="s">
        <v>332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1879.18</v>
      </c>
      <c r="X166" s="4">
        <v>1</v>
      </c>
      <c r="Y166" s="4">
        <v>1879.18</v>
      </c>
      <c r="Z166" s="4"/>
      <c r="AA166" s="4"/>
      <c r="AB166" s="4"/>
    </row>
    <row r="167" spans="1:245" x14ac:dyDescent="0.25">
      <c r="A167" s="4">
        <v>50</v>
      </c>
      <c r="B167" s="4">
        <v>0</v>
      </c>
      <c r="C167" s="4">
        <v>0</v>
      </c>
      <c r="D167" s="4">
        <v>1</v>
      </c>
      <c r="E167" s="4">
        <v>224</v>
      </c>
      <c r="F167" s="4">
        <f>ROUND(Source!AR139,O167)</f>
        <v>12061.39</v>
      </c>
      <c r="G167" s="4" t="s">
        <v>474</v>
      </c>
      <c r="H167" s="4" t="s">
        <v>475</v>
      </c>
      <c r="I167" s="4"/>
      <c r="J167" s="4"/>
      <c r="K167" s="4">
        <v>224</v>
      </c>
      <c r="L167" s="4">
        <v>27</v>
      </c>
      <c r="M167" s="4">
        <v>3</v>
      </c>
      <c r="N167" s="4" t="s">
        <v>332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12061.39</v>
      </c>
      <c r="X167" s="4">
        <v>1</v>
      </c>
      <c r="Y167" s="4">
        <v>12061.39</v>
      </c>
      <c r="Z167" s="4"/>
      <c r="AA167" s="4"/>
      <c r="AB167" s="4"/>
    </row>
    <row r="169" spans="1:245" x14ac:dyDescent="0.25">
      <c r="A169" s="1">
        <v>4</v>
      </c>
      <c r="B169" s="1">
        <v>1</v>
      </c>
      <c r="C169" s="1"/>
      <c r="D169" s="1">
        <f>ROW(A177)</f>
        <v>177</v>
      </c>
      <c r="E169" s="1"/>
      <c r="F169" s="1" t="s">
        <v>343</v>
      </c>
      <c r="G169" s="1" t="s">
        <v>548</v>
      </c>
      <c r="H169" s="1" t="s">
        <v>332</v>
      </c>
      <c r="I169" s="1">
        <v>0</v>
      </c>
      <c r="J169" s="1"/>
      <c r="K169" s="1">
        <v>0</v>
      </c>
      <c r="L169" s="1"/>
      <c r="M169" s="1" t="s">
        <v>332</v>
      </c>
      <c r="N169" s="1"/>
      <c r="O169" s="1"/>
      <c r="P169" s="1"/>
      <c r="Q169" s="1"/>
      <c r="R169" s="1"/>
      <c r="S169" s="1">
        <v>0</v>
      </c>
      <c r="T169" s="1"/>
      <c r="U169" s="1" t="s">
        <v>332</v>
      </c>
      <c r="V169" s="1">
        <v>0</v>
      </c>
      <c r="W169" s="1"/>
      <c r="X169" s="1"/>
      <c r="Y169" s="1"/>
      <c r="Z169" s="1"/>
      <c r="AA169" s="1"/>
      <c r="AB169" s="1" t="s">
        <v>332</v>
      </c>
      <c r="AC169" s="1" t="s">
        <v>332</v>
      </c>
      <c r="AD169" s="1" t="s">
        <v>332</v>
      </c>
      <c r="AE169" s="1" t="s">
        <v>332</v>
      </c>
      <c r="AF169" s="1" t="s">
        <v>332</v>
      </c>
      <c r="AG169" s="1" t="s">
        <v>332</v>
      </c>
      <c r="AH169" s="1"/>
      <c r="AI169" s="1"/>
      <c r="AJ169" s="1"/>
      <c r="AK169" s="1"/>
      <c r="AL169" s="1"/>
      <c r="AM169" s="1"/>
      <c r="AN169" s="1"/>
      <c r="AO169" s="1"/>
      <c r="AP169" s="1" t="s">
        <v>332</v>
      </c>
      <c r="AQ169" s="1" t="s">
        <v>332</v>
      </c>
      <c r="AR169" s="1" t="s">
        <v>332</v>
      </c>
      <c r="AS169" s="1"/>
      <c r="AT169" s="1"/>
      <c r="AU169" s="1"/>
      <c r="AV169" s="1"/>
      <c r="AW169" s="1"/>
      <c r="AX169" s="1"/>
      <c r="AY169" s="1"/>
      <c r="AZ169" s="1" t="s">
        <v>332</v>
      </c>
      <c r="BA169" s="1"/>
      <c r="BB169" s="1" t="s">
        <v>332</v>
      </c>
      <c r="BC169" s="1" t="s">
        <v>332</v>
      </c>
      <c r="BD169" s="1" t="s">
        <v>332</v>
      </c>
      <c r="BE169" s="1" t="s">
        <v>332</v>
      </c>
      <c r="BF169" s="1" t="s">
        <v>332</v>
      </c>
      <c r="BG169" s="1" t="s">
        <v>332</v>
      </c>
      <c r="BH169" s="1" t="s">
        <v>332</v>
      </c>
      <c r="BI169" s="1" t="s">
        <v>332</v>
      </c>
      <c r="BJ169" s="1" t="s">
        <v>332</v>
      </c>
      <c r="BK169" s="1" t="s">
        <v>332</v>
      </c>
      <c r="BL169" s="1" t="s">
        <v>332</v>
      </c>
      <c r="BM169" s="1" t="s">
        <v>332</v>
      </c>
      <c r="BN169" s="1" t="s">
        <v>332</v>
      </c>
      <c r="BO169" s="1" t="s">
        <v>332</v>
      </c>
      <c r="BP169" s="1" t="s">
        <v>332</v>
      </c>
      <c r="BQ169" s="1"/>
      <c r="BR169" s="1"/>
      <c r="BS169" s="1"/>
      <c r="BT169" s="1"/>
      <c r="BU169" s="1"/>
      <c r="BV169" s="1"/>
      <c r="BW169" s="1"/>
      <c r="BX169" s="1">
        <v>0</v>
      </c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>
        <v>0</v>
      </c>
    </row>
    <row r="171" spans="1:245" x14ac:dyDescent="0.25">
      <c r="A171" s="7">
        <v>52</v>
      </c>
      <c r="B171" s="7">
        <f t="shared" ref="B171:G171" si="113">B177</f>
        <v>1</v>
      </c>
      <c r="C171" s="7">
        <f t="shared" si="113"/>
        <v>4</v>
      </c>
      <c r="D171" s="7">
        <f t="shared" si="113"/>
        <v>169</v>
      </c>
      <c r="E171" s="7">
        <f t="shared" si="113"/>
        <v>0</v>
      </c>
      <c r="F171" s="7" t="str">
        <f t="shared" si="113"/>
        <v>Новый раздел</v>
      </c>
      <c r="G171" s="7" t="str">
        <f t="shared" si="113"/>
        <v>Работа 5</v>
      </c>
      <c r="H171" s="7"/>
      <c r="I171" s="7"/>
      <c r="J171" s="7"/>
      <c r="K171" s="7"/>
      <c r="L171" s="7"/>
      <c r="M171" s="7"/>
      <c r="N171" s="7"/>
      <c r="O171" s="7">
        <f t="shared" ref="O171:AT171" si="114">O177</f>
        <v>143.57</v>
      </c>
      <c r="P171" s="7">
        <f t="shared" si="114"/>
        <v>72.31</v>
      </c>
      <c r="Q171" s="7">
        <f t="shared" si="114"/>
        <v>0</v>
      </c>
      <c r="R171" s="7">
        <f t="shared" si="114"/>
        <v>0</v>
      </c>
      <c r="S171" s="7">
        <f t="shared" si="114"/>
        <v>71.260000000000005</v>
      </c>
      <c r="T171" s="7">
        <f t="shared" si="114"/>
        <v>0</v>
      </c>
      <c r="U171" s="7">
        <f t="shared" si="114"/>
        <v>0.13225200000000001</v>
      </c>
      <c r="V171" s="7">
        <f t="shared" si="114"/>
        <v>0</v>
      </c>
      <c r="W171" s="7">
        <f t="shared" si="114"/>
        <v>0</v>
      </c>
      <c r="X171" s="7">
        <f t="shared" si="114"/>
        <v>65.56</v>
      </c>
      <c r="Y171" s="7">
        <f t="shared" si="114"/>
        <v>31.35</v>
      </c>
      <c r="Z171" s="7">
        <f t="shared" si="114"/>
        <v>0</v>
      </c>
      <c r="AA171" s="7">
        <f t="shared" si="114"/>
        <v>0</v>
      </c>
      <c r="AB171" s="7">
        <f t="shared" si="114"/>
        <v>143.57</v>
      </c>
      <c r="AC171" s="7">
        <f t="shared" si="114"/>
        <v>72.31</v>
      </c>
      <c r="AD171" s="7">
        <f t="shared" si="114"/>
        <v>0</v>
      </c>
      <c r="AE171" s="7">
        <f t="shared" si="114"/>
        <v>0</v>
      </c>
      <c r="AF171" s="7">
        <f t="shared" si="114"/>
        <v>71.260000000000005</v>
      </c>
      <c r="AG171" s="7">
        <f t="shared" si="114"/>
        <v>0</v>
      </c>
      <c r="AH171" s="7">
        <f t="shared" si="114"/>
        <v>0.13225200000000001</v>
      </c>
      <c r="AI171" s="7">
        <f t="shared" si="114"/>
        <v>0</v>
      </c>
      <c r="AJ171" s="7">
        <f t="shared" si="114"/>
        <v>0</v>
      </c>
      <c r="AK171" s="7">
        <f t="shared" si="114"/>
        <v>65.56</v>
      </c>
      <c r="AL171" s="7">
        <f t="shared" si="114"/>
        <v>31.35</v>
      </c>
      <c r="AM171" s="7">
        <f t="shared" si="114"/>
        <v>0</v>
      </c>
      <c r="AN171" s="7">
        <f t="shared" si="114"/>
        <v>0</v>
      </c>
      <c r="AO171" s="7">
        <f t="shared" si="114"/>
        <v>0</v>
      </c>
      <c r="AP171" s="7">
        <f t="shared" si="114"/>
        <v>0</v>
      </c>
      <c r="AQ171" s="7">
        <f t="shared" si="114"/>
        <v>0</v>
      </c>
      <c r="AR171" s="7">
        <f t="shared" si="114"/>
        <v>500.94</v>
      </c>
      <c r="AS171" s="7">
        <f t="shared" si="114"/>
        <v>500.94</v>
      </c>
      <c r="AT171" s="7">
        <f t="shared" si="114"/>
        <v>0</v>
      </c>
      <c r="AU171" s="7">
        <f t="shared" ref="AU171:BZ171" si="115">AU177</f>
        <v>0</v>
      </c>
      <c r="AV171" s="7">
        <f t="shared" si="115"/>
        <v>72.31</v>
      </c>
      <c r="AW171" s="7">
        <f t="shared" si="115"/>
        <v>72.31</v>
      </c>
      <c r="AX171" s="7">
        <f t="shared" si="115"/>
        <v>0</v>
      </c>
      <c r="AY171" s="7">
        <f t="shared" si="115"/>
        <v>72.31</v>
      </c>
      <c r="AZ171" s="7">
        <f t="shared" si="115"/>
        <v>0</v>
      </c>
      <c r="BA171" s="7">
        <f t="shared" si="115"/>
        <v>0</v>
      </c>
      <c r="BB171" s="7">
        <f t="shared" si="115"/>
        <v>0</v>
      </c>
      <c r="BC171" s="7">
        <f t="shared" si="115"/>
        <v>0</v>
      </c>
      <c r="BD171" s="7">
        <f t="shared" si="115"/>
        <v>260.45999999999998</v>
      </c>
      <c r="BE171" s="7">
        <f t="shared" si="115"/>
        <v>0</v>
      </c>
      <c r="BF171" s="7">
        <f t="shared" si="115"/>
        <v>0</v>
      </c>
      <c r="BG171" s="7">
        <f t="shared" si="115"/>
        <v>0</v>
      </c>
      <c r="BH171" s="7">
        <f t="shared" si="115"/>
        <v>0</v>
      </c>
      <c r="BI171" s="7">
        <f t="shared" si="115"/>
        <v>0</v>
      </c>
      <c r="BJ171" s="7">
        <f t="shared" si="115"/>
        <v>0</v>
      </c>
      <c r="BK171" s="7">
        <f t="shared" si="115"/>
        <v>0</v>
      </c>
      <c r="BL171" s="7">
        <f t="shared" si="115"/>
        <v>0</v>
      </c>
      <c r="BM171" s="7">
        <f t="shared" si="115"/>
        <v>0</v>
      </c>
      <c r="BN171" s="7">
        <f t="shared" si="115"/>
        <v>0</v>
      </c>
      <c r="BO171" s="7">
        <f t="shared" si="115"/>
        <v>0</v>
      </c>
      <c r="BP171" s="7">
        <f t="shared" si="115"/>
        <v>0</v>
      </c>
      <c r="BQ171" s="7">
        <f t="shared" si="115"/>
        <v>0</v>
      </c>
      <c r="BR171" s="7">
        <f t="shared" si="115"/>
        <v>0</v>
      </c>
      <c r="BS171" s="7">
        <f t="shared" si="115"/>
        <v>0</v>
      </c>
      <c r="BT171" s="7">
        <f t="shared" si="115"/>
        <v>0</v>
      </c>
      <c r="BU171" s="7">
        <f t="shared" si="115"/>
        <v>0</v>
      </c>
      <c r="BV171" s="7">
        <f t="shared" si="115"/>
        <v>0</v>
      </c>
      <c r="BW171" s="7">
        <f t="shared" si="115"/>
        <v>0</v>
      </c>
      <c r="BX171" s="7">
        <f t="shared" si="115"/>
        <v>0</v>
      </c>
      <c r="BY171" s="7">
        <f t="shared" si="115"/>
        <v>0</v>
      </c>
      <c r="BZ171" s="7">
        <f t="shared" si="115"/>
        <v>0</v>
      </c>
      <c r="CA171" s="7">
        <f t="shared" ref="CA171:DF171" si="116">CA177</f>
        <v>500.94</v>
      </c>
      <c r="CB171" s="7">
        <f t="shared" si="116"/>
        <v>500.94</v>
      </c>
      <c r="CC171" s="7">
        <f t="shared" si="116"/>
        <v>0</v>
      </c>
      <c r="CD171" s="7">
        <f t="shared" si="116"/>
        <v>0</v>
      </c>
      <c r="CE171" s="7">
        <f t="shared" si="116"/>
        <v>72.31</v>
      </c>
      <c r="CF171" s="7">
        <f t="shared" si="116"/>
        <v>72.31</v>
      </c>
      <c r="CG171" s="7">
        <f t="shared" si="116"/>
        <v>0</v>
      </c>
      <c r="CH171" s="7">
        <f t="shared" si="116"/>
        <v>72.31</v>
      </c>
      <c r="CI171" s="7">
        <f t="shared" si="116"/>
        <v>0</v>
      </c>
      <c r="CJ171" s="7">
        <f t="shared" si="116"/>
        <v>0</v>
      </c>
      <c r="CK171" s="7">
        <f t="shared" si="116"/>
        <v>0</v>
      </c>
      <c r="CL171" s="7">
        <f t="shared" si="116"/>
        <v>0</v>
      </c>
      <c r="CM171" s="7">
        <f t="shared" si="116"/>
        <v>260.45999999999998</v>
      </c>
      <c r="CN171" s="7">
        <f t="shared" si="116"/>
        <v>0</v>
      </c>
      <c r="CO171" s="7">
        <f t="shared" si="116"/>
        <v>0</v>
      </c>
      <c r="CP171" s="7">
        <f t="shared" si="116"/>
        <v>0</v>
      </c>
      <c r="CQ171" s="7">
        <f t="shared" si="116"/>
        <v>0</v>
      </c>
      <c r="CR171" s="7">
        <f t="shared" si="116"/>
        <v>0</v>
      </c>
      <c r="CS171" s="7">
        <f t="shared" si="116"/>
        <v>0</v>
      </c>
      <c r="CT171" s="7">
        <f t="shared" si="116"/>
        <v>0</v>
      </c>
      <c r="CU171" s="7">
        <f t="shared" si="116"/>
        <v>0</v>
      </c>
      <c r="CV171" s="7">
        <f t="shared" si="116"/>
        <v>0</v>
      </c>
      <c r="CW171" s="7">
        <f t="shared" si="116"/>
        <v>0</v>
      </c>
      <c r="CX171" s="7">
        <f t="shared" si="116"/>
        <v>0</v>
      </c>
      <c r="CY171" s="7">
        <f t="shared" si="116"/>
        <v>0</v>
      </c>
      <c r="CZ171" s="7">
        <f t="shared" si="116"/>
        <v>0</v>
      </c>
      <c r="DA171" s="7">
        <f t="shared" si="116"/>
        <v>0</v>
      </c>
      <c r="DB171" s="7">
        <f t="shared" si="116"/>
        <v>0</v>
      </c>
      <c r="DC171" s="7">
        <f t="shared" si="116"/>
        <v>0</v>
      </c>
      <c r="DD171" s="7">
        <f t="shared" si="116"/>
        <v>0</v>
      </c>
      <c r="DE171" s="7">
        <f t="shared" si="116"/>
        <v>0</v>
      </c>
      <c r="DF171" s="7">
        <f t="shared" si="116"/>
        <v>0</v>
      </c>
      <c r="DG171" s="5">
        <f t="shared" ref="DG171:EL171" si="117">DG177</f>
        <v>0</v>
      </c>
      <c r="DH171" s="5">
        <f t="shared" si="117"/>
        <v>0</v>
      </c>
      <c r="DI171" s="5">
        <f t="shared" si="117"/>
        <v>0</v>
      </c>
      <c r="DJ171" s="5">
        <f t="shared" si="117"/>
        <v>0</v>
      </c>
      <c r="DK171" s="5">
        <f t="shared" si="117"/>
        <v>0</v>
      </c>
      <c r="DL171" s="5">
        <f t="shared" si="117"/>
        <v>0</v>
      </c>
      <c r="DM171" s="5">
        <f t="shared" si="117"/>
        <v>0</v>
      </c>
      <c r="DN171" s="5">
        <f t="shared" si="117"/>
        <v>0</v>
      </c>
      <c r="DO171" s="5">
        <f t="shared" si="117"/>
        <v>0</v>
      </c>
      <c r="DP171" s="5">
        <f t="shared" si="117"/>
        <v>0</v>
      </c>
      <c r="DQ171" s="5">
        <f t="shared" si="117"/>
        <v>0</v>
      </c>
      <c r="DR171" s="5">
        <f t="shared" si="117"/>
        <v>0</v>
      </c>
      <c r="DS171" s="5">
        <f t="shared" si="117"/>
        <v>0</v>
      </c>
      <c r="DT171" s="5">
        <f t="shared" si="117"/>
        <v>0</v>
      </c>
      <c r="DU171" s="5">
        <f t="shared" si="117"/>
        <v>0</v>
      </c>
      <c r="DV171" s="5">
        <f t="shared" si="117"/>
        <v>0</v>
      </c>
      <c r="DW171" s="5">
        <f t="shared" si="117"/>
        <v>0</v>
      </c>
      <c r="DX171" s="5">
        <f t="shared" si="117"/>
        <v>0</v>
      </c>
      <c r="DY171" s="5">
        <f t="shared" si="117"/>
        <v>0</v>
      </c>
      <c r="DZ171" s="5">
        <f t="shared" si="117"/>
        <v>0</v>
      </c>
      <c r="EA171" s="5">
        <f t="shared" si="117"/>
        <v>0</v>
      </c>
      <c r="EB171" s="5">
        <f t="shared" si="117"/>
        <v>0</v>
      </c>
      <c r="EC171" s="5">
        <f t="shared" si="117"/>
        <v>0</v>
      </c>
      <c r="ED171" s="5">
        <f t="shared" si="117"/>
        <v>0</v>
      </c>
      <c r="EE171" s="5">
        <f t="shared" si="117"/>
        <v>0</v>
      </c>
      <c r="EF171" s="5">
        <f t="shared" si="117"/>
        <v>0</v>
      </c>
      <c r="EG171" s="5">
        <f t="shared" si="117"/>
        <v>0</v>
      </c>
      <c r="EH171" s="5">
        <f t="shared" si="117"/>
        <v>0</v>
      </c>
      <c r="EI171" s="5">
        <f t="shared" si="117"/>
        <v>0</v>
      </c>
      <c r="EJ171" s="5">
        <f t="shared" si="117"/>
        <v>0</v>
      </c>
      <c r="EK171" s="5">
        <f t="shared" si="117"/>
        <v>0</v>
      </c>
      <c r="EL171" s="5">
        <f t="shared" si="117"/>
        <v>0</v>
      </c>
      <c r="EM171" s="5">
        <f t="shared" ref="EM171:FR171" si="118">EM177</f>
        <v>0</v>
      </c>
      <c r="EN171" s="5">
        <f t="shared" si="118"/>
        <v>0</v>
      </c>
      <c r="EO171" s="5">
        <f t="shared" si="118"/>
        <v>0</v>
      </c>
      <c r="EP171" s="5">
        <f t="shared" si="118"/>
        <v>0</v>
      </c>
      <c r="EQ171" s="5">
        <f t="shared" si="118"/>
        <v>0</v>
      </c>
      <c r="ER171" s="5">
        <f t="shared" si="118"/>
        <v>0</v>
      </c>
      <c r="ES171" s="5">
        <f t="shared" si="118"/>
        <v>0</v>
      </c>
      <c r="ET171" s="5">
        <f t="shared" si="118"/>
        <v>0</v>
      </c>
      <c r="EU171" s="5">
        <f t="shared" si="118"/>
        <v>0</v>
      </c>
      <c r="EV171" s="5">
        <f t="shared" si="118"/>
        <v>0</v>
      </c>
      <c r="EW171" s="5">
        <f t="shared" si="118"/>
        <v>0</v>
      </c>
      <c r="EX171" s="5">
        <f t="shared" si="118"/>
        <v>0</v>
      </c>
      <c r="EY171" s="5">
        <f t="shared" si="118"/>
        <v>0</v>
      </c>
      <c r="EZ171" s="5">
        <f t="shared" si="118"/>
        <v>0</v>
      </c>
      <c r="FA171" s="5">
        <f t="shared" si="118"/>
        <v>0</v>
      </c>
      <c r="FB171" s="5">
        <f t="shared" si="118"/>
        <v>0</v>
      </c>
      <c r="FC171" s="5">
        <f t="shared" si="118"/>
        <v>0</v>
      </c>
      <c r="FD171" s="5">
        <f t="shared" si="118"/>
        <v>0</v>
      </c>
      <c r="FE171" s="5">
        <f t="shared" si="118"/>
        <v>0</v>
      </c>
      <c r="FF171" s="5">
        <f t="shared" si="118"/>
        <v>0</v>
      </c>
      <c r="FG171" s="5">
        <f t="shared" si="118"/>
        <v>0</v>
      </c>
      <c r="FH171" s="5">
        <f t="shared" si="118"/>
        <v>0</v>
      </c>
      <c r="FI171" s="5">
        <f t="shared" si="118"/>
        <v>0</v>
      </c>
      <c r="FJ171" s="5">
        <f t="shared" si="118"/>
        <v>0</v>
      </c>
      <c r="FK171" s="5">
        <f t="shared" si="118"/>
        <v>0</v>
      </c>
      <c r="FL171" s="5">
        <f t="shared" si="118"/>
        <v>0</v>
      </c>
      <c r="FM171" s="5">
        <f t="shared" si="118"/>
        <v>0</v>
      </c>
      <c r="FN171" s="5">
        <f t="shared" si="118"/>
        <v>0</v>
      </c>
      <c r="FO171" s="5">
        <f t="shared" si="118"/>
        <v>0</v>
      </c>
      <c r="FP171" s="5">
        <f t="shared" si="118"/>
        <v>0</v>
      </c>
      <c r="FQ171" s="5">
        <f t="shared" si="118"/>
        <v>0</v>
      </c>
      <c r="FR171" s="5">
        <f t="shared" si="118"/>
        <v>0</v>
      </c>
      <c r="FS171" s="5">
        <f t="shared" ref="FS171:GX171" si="119">FS177</f>
        <v>0</v>
      </c>
      <c r="FT171" s="5">
        <f t="shared" si="119"/>
        <v>0</v>
      </c>
      <c r="FU171" s="5">
        <f t="shared" si="119"/>
        <v>0</v>
      </c>
      <c r="FV171" s="5">
        <f t="shared" si="119"/>
        <v>0</v>
      </c>
      <c r="FW171" s="5">
        <f t="shared" si="119"/>
        <v>0</v>
      </c>
      <c r="FX171" s="5">
        <f t="shared" si="119"/>
        <v>0</v>
      </c>
      <c r="FY171" s="5">
        <f t="shared" si="119"/>
        <v>0</v>
      </c>
      <c r="FZ171" s="5">
        <f t="shared" si="119"/>
        <v>0</v>
      </c>
      <c r="GA171" s="5">
        <f t="shared" si="119"/>
        <v>0</v>
      </c>
      <c r="GB171" s="5">
        <f t="shared" si="119"/>
        <v>0</v>
      </c>
      <c r="GC171" s="5">
        <f t="shared" si="119"/>
        <v>0</v>
      </c>
      <c r="GD171" s="5">
        <f t="shared" si="119"/>
        <v>0</v>
      </c>
      <c r="GE171" s="5">
        <f t="shared" si="119"/>
        <v>0</v>
      </c>
      <c r="GF171" s="5">
        <f t="shared" si="119"/>
        <v>0</v>
      </c>
      <c r="GG171" s="5">
        <f t="shared" si="119"/>
        <v>0</v>
      </c>
      <c r="GH171" s="5">
        <f t="shared" si="119"/>
        <v>0</v>
      </c>
      <c r="GI171" s="5">
        <f t="shared" si="119"/>
        <v>0</v>
      </c>
      <c r="GJ171" s="5">
        <f t="shared" si="119"/>
        <v>0</v>
      </c>
      <c r="GK171" s="5">
        <f t="shared" si="119"/>
        <v>0</v>
      </c>
      <c r="GL171" s="5">
        <f t="shared" si="119"/>
        <v>0</v>
      </c>
      <c r="GM171" s="5">
        <f t="shared" si="119"/>
        <v>0</v>
      </c>
      <c r="GN171" s="5">
        <f t="shared" si="119"/>
        <v>0</v>
      </c>
      <c r="GO171" s="5">
        <f t="shared" si="119"/>
        <v>0</v>
      </c>
      <c r="GP171" s="5">
        <f t="shared" si="119"/>
        <v>0</v>
      </c>
      <c r="GQ171" s="5">
        <f t="shared" si="119"/>
        <v>0</v>
      </c>
      <c r="GR171" s="5">
        <f t="shared" si="119"/>
        <v>0</v>
      </c>
      <c r="GS171" s="5">
        <f t="shared" si="119"/>
        <v>0</v>
      </c>
      <c r="GT171" s="5">
        <f t="shared" si="119"/>
        <v>0</v>
      </c>
      <c r="GU171" s="5">
        <f t="shared" si="119"/>
        <v>0</v>
      </c>
      <c r="GV171" s="5">
        <f t="shared" si="119"/>
        <v>0</v>
      </c>
      <c r="GW171" s="5">
        <f t="shared" si="119"/>
        <v>0</v>
      </c>
      <c r="GX171" s="5">
        <f t="shared" si="119"/>
        <v>0</v>
      </c>
    </row>
    <row r="173" spans="1:245" x14ac:dyDescent="0.25">
      <c r="A173">
        <v>17</v>
      </c>
      <c r="B173">
        <v>1</v>
      </c>
      <c r="C173">
        <f>ROW(SmtRes!A156)</f>
        <v>156</v>
      </c>
      <c r="D173">
        <f>ROW(EtalonRes!A156)</f>
        <v>156</v>
      </c>
      <c r="E173" t="s">
        <v>295</v>
      </c>
      <c r="F173" t="s">
        <v>549</v>
      </c>
      <c r="G173" t="s">
        <v>550</v>
      </c>
      <c r="H173" t="s">
        <v>87</v>
      </c>
      <c r="I173">
        <v>0.12839999999999999</v>
      </c>
      <c r="J173">
        <v>0</v>
      </c>
      <c r="K173">
        <v>0.12839999999999999</v>
      </c>
      <c r="O173">
        <f>ROUND(CP173,2)</f>
        <v>143.57</v>
      </c>
      <c r="P173">
        <f>SUMIF(SmtRes!AQ155:'SmtRes'!AQ156,"=1",SmtRes!DF155:'SmtRes'!DF156)</f>
        <v>72.31</v>
      </c>
      <c r="Q173">
        <f>SUMIF(SmtRes!AQ155:'SmtRes'!AQ156,"=1",SmtRes!DG155:'SmtRes'!DG156)</f>
        <v>0</v>
      </c>
      <c r="R173">
        <f>SUMIF(SmtRes!AQ155:'SmtRes'!AQ156,"=1",SmtRes!DH155:'SmtRes'!DH156)</f>
        <v>0</v>
      </c>
      <c r="S173">
        <f>SUMIF(SmtRes!AQ155:'SmtRes'!AQ156,"=1",SmtRes!DI155:'SmtRes'!DI156)</f>
        <v>71.260000000000005</v>
      </c>
      <c r="T173">
        <f>ROUND(CU173*I173,2)</f>
        <v>0</v>
      </c>
      <c r="U173">
        <f>SUMIF(SmtRes!AQ155:'SmtRes'!AQ156,"=1",SmtRes!CV155:'SmtRes'!CV156)</f>
        <v>0.13225200000000001</v>
      </c>
      <c r="V173">
        <f>SUMIF(SmtRes!AQ155:'SmtRes'!AQ156,"=1",SmtRes!CW155:'SmtRes'!CW156)</f>
        <v>0</v>
      </c>
      <c r="W173">
        <f>ROUND(CX173*I173,2)</f>
        <v>0</v>
      </c>
      <c r="X173">
        <f>ROUND(CY173,2)</f>
        <v>65.56</v>
      </c>
      <c r="Y173">
        <f>ROUND(CZ173,2)</f>
        <v>31.35</v>
      </c>
      <c r="AA173">
        <v>78397139</v>
      </c>
      <c r="AB173">
        <f>ROUND((AC173+AD173+AF173),6)</f>
        <v>920.72550000000001</v>
      </c>
      <c r="AC173">
        <f>ROUND((SUM(SmtRes!BQ155:'SmtRes'!BQ156)),6)</f>
        <v>365.71</v>
      </c>
      <c r="AD173">
        <f>ROUND((((0)-(0))+AE173),6)</f>
        <v>0</v>
      </c>
      <c r="AE173">
        <f>ROUND((0),6)</f>
        <v>0</v>
      </c>
      <c r="AF173">
        <f>ROUND((SUM(SmtRes!BT155:'SmtRes'!BT156)),6)</f>
        <v>555.01549999999997</v>
      </c>
      <c r="AG173">
        <f>ROUND((AP173),6)</f>
        <v>0</v>
      </c>
      <c r="AH173">
        <f>(SUM(SmtRes!BU155:'SmtRes'!BU156))</f>
        <v>1.03</v>
      </c>
      <c r="AI173">
        <f>(0)</f>
        <v>0</v>
      </c>
      <c r="AJ173">
        <f>(AS173)</f>
        <v>0</v>
      </c>
      <c r="AK173">
        <v>920.72550000000001</v>
      </c>
      <c r="AL173">
        <v>365.71</v>
      </c>
      <c r="AM173">
        <v>0</v>
      </c>
      <c r="AN173">
        <v>0</v>
      </c>
      <c r="AO173">
        <v>555.01549999999997</v>
      </c>
      <c r="AP173">
        <v>0</v>
      </c>
      <c r="AQ173">
        <v>1.03</v>
      </c>
      <c r="AR173">
        <v>0</v>
      </c>
      <c r="AS173">
        <v>0</v>
      </c>
      <c r="AT173">
        <v>92</v>
      </c>
      <c r="AU173">
        <v>44</v>
      </c>
      <c r="AV173">
        <v>1</v>
      </c>
      <c r="AW173">
        <v>1</v>
      </c>
      <c r="AZ173">
        <v>1</v>
      </c>
      <c r="BA173">
        <v>1</v>
      </c>
      <c r="BB173">
        <v>1</v>
      </c>
      <c r="BC173">
        <v>1</v>
      </c>
      <c r="BD173" t="s">
        <v>332</v>
      </c>
      <c r="BE173" t="s">
        <v>332</v>
      </c>
      <c r="BF173" t="s">
        <v>332</v>
      </c>
      <c r="BG173" t="s">
        <v>332</v>
      </c>
      <c r="BH173">
        <v>0</v>
      </c>
      <c r="BI173">
        <v>1</v>
      </c>
      <c r="BJ173" t="s">
        <v>551</v>
      </c>
      <c r="BM173">
        <v>69001</v>
      </c>
      <c r="BN173">
        <v>0</v>
      </c>
      <c r="BO173" t="s">
        <v>332</v>
      </c>
      <c r="BP173">
        <v>0</v>
      </c>
      <c r="BQ173">
        <v>6</v>
      </c>
      <c r="BR173">
        <v>0</v>
      </c>
      <c r="BS173">
        <v>1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332</v>
      </c>
      <c r="BZ173">
        <v>92</v>
      </c>
      <c r="CA173">
        <v>44</v>
      </c>
      <c r="CB173" t="s">
        <v>332</v>
      </c>
      <c r="CE173">
        <v>0</v>
      </c>
      <c r="CF173">
        <v>0</v>
      </c>
      <c r="CG173">
        <v>0</v>
      </c>
      <c r="CM173">
        <v>0</v>
      </c>
      <c r="CN173" t="s">
        <v>332</v>
      </c>
      <c r="CO173">
        <v>0</v>
      </c>
      <c r="CP173">
        <f>(P173+Q173+S173+R173)</f>
        <v>143.57</v>
      </c>
      <c r="CQ173">
        <f>SUMIF(SmtRes!AQ155:'SmtRes'!AQ156,"=1",SmtRes!AA155:'SmtRes'!AA156)</f>
        <v>2815.97</v>
      </c>
      <c r="CR173">
        <f>SUMIF(SmtRes!AQ155:'SmtRes'!AQ156,"=1",SmtRes!AB155:'SmtRes'!AB156)</f>
        <v>0</v>
      </c>
      <c r="CS173">
        <f>SUMIF(SmtRes!AQ155:'SmtRes'!AQ156,"=1",SmtRes!AC155:'SmtRes'!AC156)</f>
        <v>0</v>
      </c>
      <c r="CT173">
        <f>SUMIF(SmtRes!AQ155:'SmtRes'!AQ156,"=1",SmtRes!AD155:'SmtRes'!AD156)</f>
        <v>538.85</v>
      </c>
      <c r="CU173">
        <f>AG173</f>
        <v>0</v>
      </c>
      <c r="CV173">
        <f>SUMIF(SmtRes!AQ155:'SmtRes'!AQ156,"=1",SmtRes!BU155:'SmtRes'!BU156)</f>
        <v>1.03</v>
      </c>
      <c r="CW173">
        <f>SUMIF(SmtRes!AQ155:'SmtRes'!AQ156,"=1",SmtRes!BV155:'SmtRes'!BV156)</f>
        <v>0</v>
      </c>
      <c r="CX173">
        <f>AJ173</f>
        <v>0</v>
      </c>
      <c r="CY173">
        <f>(((S173+R173)*AT173)/100)</f>
        <v>65.559200000000004</v>
      </c>
      <c r="CZ173">
        <f>(((S173+R173)*AU173)/100)</f>
        <v>31.354400000000002</v>
      </c>
      <c r="DC173" t="s">
        <v>332</v>
      </c>
      <c r="DD173" t="s">
        <v>332</v>
      </c>
      <c r="DE173" t="s">
        <v>332</v>
      </c>
      <c r="DF173" t="s">
        <v>332</v>
      </c>
      <c r="DG173" t="s">
        <v>332</v>
      </c>
      <c r="DH173" t="s">
        <v>332</v>
      </c>
      <c r="DI173" t="s">
        <v>332</v>
      </c>
      <c r="DJ173" t="s">
        <v>332</v>
      </c>
      <c r="DK173" t="s">
        <v>332</v>
      </c>
      <c r="DL173" t="s">
        <v>332</v>
      </c>
      <c r="DM173" t="s">
        <v>332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87</v>
      </c>
      <c r="DW173" t="s">
        <v>87</v>
      </c>
      <c r="DX173">
        <v>1000</v>
      </c>
      <c r="DZ173" t="s">
        <v>332</v>
      </c>
      <c r="EA173" t="s">
        <v>332</v>
      </c>
      <c r="EB173" t="s">
        <v>332</v>
      </c>
      <c r="EC173" t="s">
        <v>332</v>
      </c>
      <c r="EE173">
        <v>77313218</v>
      </c>
      <c r="EF173">
        <v>6</v>
      </c>
      <c r="EG173" t="s">
        <v>349</v>
      </c>
      <c r="EH173">
        <v>103</v>
      </c>
      <c r="EI173" t="s">
        <v>552</v>
      </c>
      <c r="EJ173">
        <v>1</v>
      </c>
      <c r="EK173">
        <v>69001</v>
      </c>
      <c r="EL173" t="s">
        <v>552</v>
      </c>
      <c r="EM173" t="s">
        <v>553</v>
      </c>
      <c r="EO173" t="s">
        <v>332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1.03</v>
      </c>
      <c r="EX173">
        <v>0</v>
      </c>
      <c r="EY173">
        <v>0</v>
      </c>
      <c r="FQ173">
        <v>0</v>
      </c>
      <c r="FR173">
        <v>0</v>
      </c>
      <c r="FS173">
        <v>0</v>
      </c>
      <c r="FX173">
        <v>92</v>
      </c>
      <c r="FY173">
        <v>44</v>
      </c>
      <c r="GA173" t="s">
        <v>332</v>
      </c>
      <c r="GD173">
        <v>1</v>
      </c>
      <c r="GF173">
        <v>-2146736614</v>
      </c>
      <c r="GG173">
        <v>2</v>
      </c>
      <c r="GH173">
        <v>1</v>
      </c>
      <c r="GI173">
        <v>-2</v>
      </c>
      <c r="GJ173">
        <v>0</v>
      </c>
      <c r="GK173">
        <v>0</v>
      </c>
      <c r="GL173">
        <f>ROUND(IF(AND(BH173=3,BI173=3,FS173&lt;&gt;0),P173,0),2)</f>
        <v>0</v>
      </c>
      <c r="GM173">
        <f>ROUND(O173+X173+Y173,2)+GX173</f>
        <v>240.48</v>
      </c>
      <c r="GN173">
        <f>IF(OR(BI173=0,BI173=1),GM173-GX173,0)</f>
        <v>240.48</v>
      </c>
      <c r="GO173">
        <f>IF(BI173=2,GM173-GX173,0)</f>
        <v>0</v>
      </c>
      <c r="GP173">
        <f>IF(BI173=4,GM173-GX173,0)</f>
        <v>0</v>
      </c>
      <c r="GR173">
        <v>0</v>
      </c>
      <c r="GS173">
        <v>3</v>
      </c>
      <c r="GT173">
        <v>0</v>
      </c>
      <c r="GU173" t="s">
        <v>332</v>
      </c>
      <c r="GV173">
        <f>ROUND((GT173),6)</f>
        <v>0</v>
      </c>
      <c r="GW173">
        <v>1</v>
      </c>
      <c r="GX173">
        <f>ROUND(HC173*I173,2)</f>
        <v>0</v>
      </c>
      <c r="HA173">
        <v>0</v>
      </c>
      <c r="HB173">
        <v>0</v>
      </c>
      <c r="HC173">
        <f>GV173*GW173</f>
        <v>0</v>
      </c>
      <c r="HE173" t="s">
        <v>332</v>
      </c>
      <c r="HF173" t="s">
        <v>332</v>
      </c>
      <c r="HM173" t="s">
        <v>332</v>
      </c>
      <c r="HN173" t="s">
        <v>301</v>
      </c>
      <c r="HO173" t="s">
        <v>303</v>
      </c>
      <c r="HP173" t="s">
        <v>552</v>
      </c>
      <c r="HQ173" t="s">
        <v>552</v>
      </c>
      <c r="HS173">
        <v>0</v>
      </c>
      <c r="IK173">
        <v>0</v>
      </c>
    </row>
    <row r="174" spans="1:245" x14ac:dyDescent="0.25">
      <c r="A174">
        <v>17</v>
      </c>
      <c r="B174">
        <v>1</v>
      </c>
      <c r="E174" t="s">
        <v>305</v>
      </c>
      <c r="F174" t="s">
        <v>306</v>
      </c>
      <c r="G174" t="s">
        <v>554</v>
      </c>
      <c r="H174" t="s">
        <v>555</v>
      </c>
      <c r="I174">
        <v>0.12839999999999999</v>
      </c>
      <c r="J174">
        <v>0</v>
      </c>
      <c r="K174">
        <v>0.12839999999999999</v>
      </c>
      <c r="O174">
        <f t="shared" ref="O174:Y174" si="120">0</f>
        <v>0</v>
      </c>
      <c r="P174">
        <f t="shared" si="120"/>
        <v>0</v>
      </c>
      <c r="Q174">
        <f t="shared" si="120"/>
        <v>0</v>
      </c>
      <c r="R174">
        <f t="shared" si="120"/>
        <v>0</v>
      </c>
      <c r="S174">
        <f t="shared" si="120"/>
        <v>0</v>
      </c>
      <c r="T174">
        <f t="shared" si="120"/>
        <v>0</v>
      </c>
      <c r="U174">
        <f t="shared" si="120"/>
        <v>0</v>
      </c>
      <c r="V174">
        <f t="shared" si="120"/>
        <v>0</v>
      </c>
      <c r="W174">
        <f t="shared" si="120"/>
        <v>0</v>
      </c>
      <c r="X174">
        <f t="shared" si="120"/>
        <v>0</v>
      </c>
      <c r="Y174">
        <f t="shared" si="120"/>
        <v>0</v>
      </c>
      <c r="AA174">
        <v>78397139</v>
      </c>
      <c r="AB174">
        <f>ROUND((AK174),6)</f>
        <v>1498.11</v>
      </c>
      <c r="AC174">
        <f t="shared" ref="AC174:AJ174" si="121">0</f>
        <v>0</v>
      </c>
      <c r="AD174">
        <f t="shared" si="121"/>
        <v>0</v>
      </c>
      <c r="AE174">
        <f t="shared" si="121"/>
        <v>0</v>
      </c>
      <c r="AF174">
        <f t="shared" si="121"/>
        <v>0</v>
      </c>
      <c r="AG174">
        <f t="shared" si="121"/>
        <v>0</v>
      </c>
      <c r="AH174">
        <f t="shared" si="121"/>
        <v>0</v>
      </c>
      <c r="AI174">
        <f t="shared" si="121"/>
        <v>0</v>
      </c>
      <c r="AJ174">
        <f t="shared" si="121"/>
        <v>0</v>
      </c>
      <c r="AK174">
        <v>1498.11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332</v>
      </c>
      <c r="BE174" t="s">
        <v>332</v>
      </c>
      <c r="BF174" t="s">
        <v>332</v>
      </c>
      <c r="BG174" t="s">
        <v>332</v>
      </c>
      <c r="BH174">
        <v>0</v>
      </c>
      <c r="BI174">
        <v>1</v>
      </c>
      <c r="BJ174" t="s">
        <v>306</v>
      </c>
      <c r="BM174">
        <v>700007</v>
      </c>
      <c r="BN174">
        <v>0</v>
      </c>
      <c r="BO174" t="s">
        <v>332</v>
      </c>
      <c r="BP174">
        <v>0</v>
      </c>
      <c r="BQ174">
        <v>19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332</v>
      </c>
      <c r="BZ174">
        <v>90</v>
      </c>
      <c r="CA174">
        <v>42</v>
      </c>
      <c r="CB174" t="s">
        <v>332</v>
      </c>
      <c r="CE174">
        <v>0</v>
      </c>
      <c r="CF174">
        <v>0</v>
      </c>
      <c r="CG174">
        <v>0</v>
      </c>
      <c r="CM174">
        <v>0</v>
      </c>
      <c r="CN174" t="s">
        <v>332</v>
      </c>
      <c r="CO174">
        <v>0</v>
      </c>
      <c r="CP174">
        <f>AB174*AZ174</f>
        <v>1498.11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C174" t="s">
        <v>332</v>
      </c>
      <c r="DD174" t="s">
        <v>332</v>
      </c>
      <c r="DE174" t="s">
        <v>332</v>
      </c>
      <c r="DF174" t="s">
        <v>332</v>
      </c>
      <c r="DG174" t="s">
        <v>332</v>
      </c>
      <c r="DH174" t="s">
        <v>332</v>
      </c>
      <c r="DI174" t="s">
        <v>332</v>
      </c>
      <c r="DJ174" t="s">
        <v>332</v>
      </c>
      <c r="DK174" t="s">
        <v>332</v>
      </c>
      <c r="DL174" t="s">
        <v>332</v>
      </c>
      <c r="DM174" t="s">
        <v>332</v>
      </c>
      <c r="DN174">
        <v>0</v>
      </c>
      <c r="DO174">
        <v>0</v>
      </c>
      <c r="DP174">
        <v>1</v>
      </c>
      <c r="DQ174">
        <v>1</v>
      </c>
      <c r="DU174">
        <v>1013</v>
      </c>
      <c r="DV174" t="s">
        <v>555</v>
      </c>
      <c r="DW174" t="s">
        <v>555</v>
      </c>
      <c r="DX174">
        <v>1</v>
      </c>
      <c r="DZ174" t="s">
        <v>332</v>
      </c>
      <c r="EA174" t="s">
        <v>332</v>
      </c>
      <c r="EB174" t="s">
        <v>332</v>
      </c>
      <c r="EC174" t="s">
        <v>332</v>
      </c>
      <c r="EE174">
        <v>77313531</v>
      </c>
      <c r="EF174">
        <v>19</v>
      </c>
      <c r="EG174" t="s">
        <v>556</v>
      </c>
      <c r="EH174">
        <v>106</v>
      </c>
      <c r="EI174" t="s">
        <v>556</v>
      </c>
      <c r="EJ174">
        <v>1</v>
      </c>
      <c r="EK174">
        <v>700007</v>
      </c>
      <c r="EL174" t="s">
        <v>556</v>
      </c>
      <c r="EM174" t="s">
        <v>557</v>
      </c>
      <c r="EO174" t="s">
        <v>332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FQ174">
        <v>0</v>
      </c>
      <c r="FR174">
        <v>0</v>
      </c>
      <c r="FS174">
        <v>0</v>
      </c>
      <c r="FX174">
        <v>0</v>
      </c>
      <c r="FY174">
        <v>0</v>
      </c>
      <c r="GA174" t="s">
        <v>332</v>
      </c>
      <c r="GD174">
        <v>1</v>
      </c>
      <c r="GF174">
        <v>326800680</v>
      </c>
      <c r="GG174">
        <v>2</v>
      </c>
      <c r="GH174">
        <v>1</v>
      </c>
      <c r="GI174">
        <v>-2</v>
      </c>
      <c r="GJ174">
        <v>2</v>
      </c>
      <c r="GK174">
        <v>0</v>
      </c>
      <c r="GL174">
        <f>ROUND(IF(AND(BH174=3,BI174=3,FS174&lt;&gt;0),P174,0),2)</f>
        <v>0</v>
      </c>
      <c r="GM174">
        <f>ROUND(CP174*I174,2)</f>
        <v>192.36</v>
      </c>
      <c r="GN174">
        <f>IF(OR(BI174=0,BI174=1),GM174-GX174,0)</f>
        <v>192.36</v>
      </c>
      <c r="GO174">
        <f>IF(BI174=2,GM174-GX174,0)</f>
        <v>0</v>
      </c>
      <c r="GP174">
        <f>IF(BI174=4,GM174-GX174,0)</f>
        <v>0</v>
      </c>
      <c r="GR174">
        <v>0</v>
      </c>
      <c r="GS174">
        <v>3</v>
      </c>
      <c r="GT174">
        <v>0</v>
      </c>
      <c r="GU174" t="s">
        <v>332</v>
      </c>
      <c r="GV174">
        <f>0</f>
        <v>0</v>
      </c>
      <c r="GW174">
        <v>1</v>
      </c>
      <c r="GX174">
        <f>0</f>
        <v>0</v>
      </c>
      <c r="HA174">
        <v>0</v>
      </c>
      <c r="HB174">
        <v>0</v>
      </c>
      <c r="HC174">
        <v>0</v>
      </c>
      <c r="HD174">
        <f>GM174</f>
        <v>192.36</v>
      </c>
      <c r="HE174" t="s">
        <v>332</v>
      </c>
      <c r="HF174" t="s">
        <v>332</v>
      </c>
      <c r="HM174" t="s">
        <v>332</v>
      </c>
      <c r="HN174" t="s">
        <v>558</v>
      </c>
      <c r="HO174" t="s">
        <v>559</v>
      </c>
      <c r="HP174" t="s">
        <v>556</v>
      </c>
      <c r="HQ174" t="s">
        <v>556</v>
      </c>
      <c r="HS174">
        <v>0</v>
      </c>
      <c r="IK174">
        <v>0</v>
      </c>
    </row>
    <row r="175" spans="1:245" x14ac:dyDescent="0.25">
      <c r="A175">
        <v>17</v>
      </c>
      <c r="B175">
        <v>1</v>
      </c>
      <c r="E175" t="s">
        <v>307</v>
      </c>
      <c r="F175" t="s">
        <v>308</v>
      </c>
      <c r="G175" t="s">
        <v>560</v>
      </c>
      <c r="H175" t="s">
        <v>555</v>
      </c>
      <c r="I175">
        <v>0.12839999999999999</v>
      </c>
      <c r="J175">
        <v>0</v>
      </c>
      <c r="K175">
        <v>0.12839999999999999</v>
      </c>
      <c r="O175">
        <f t="shared" ref="O175:Y175" si="122">0</f>
        <v>0</v>
      </c>
      <c r="P175">
        <f t="shared" si="122"/>
        <v>0</v>
      </c>
      <c r="Q175">
        <f t="shared" si="122"/>
        <v>0</v>
      </c>
      <c r="R175">
        <f t="shared" si="122"/>
        <v>0</v>
      </c>
      <c r="S175">
        <f t="shared" si="122"/>
        <v>0</v>
      </c>
      <c r="T175">
        <f t="shared" si="122"/>
        <v>0</v>
      </c>
      <c r="U175">
        <f t="shared" si="122"/>
        <v>0</v>
      </c>
      <c r="V175">
        <f t="shared" si="122"/>
        <v>0</v>
      </c>
      <c r="W175">
        <f t="shared" si="122"/>
        <v>0</v>
      </c>
      <c r="X175">
        <f t="shared" si="122"/>
        <v>0</v>
      </c>
      <c r="Y175">
        <f t="shared" si="122"/>
        <v>0</v>
      </c>
      <c r="AA175">
        <v>78397139</v>
      </c>
      <c r="AB175">
        <f>ROUND((AK175),6)</f>
        <v>530.41</v>
      </c>
      <c r="AC175">
        <f t="shared" ref="AC175:AJ175" si="123">0</f>
        <v>0</v>
      </c>
      <c r="AD175">
        <f t="shared" si="123"/>
        <v>0</v>
      </c>
      <c r="AE175">
        <f t="shared" si="123"/>
        <v>0</v>
      </c>
      <c r="AF175">
        <f t="shared" si="123"/>
        <v>0</v>
      </c>
      <c r="AG175">
        <f t="shared" si="123"/>
        <v>0</v>
      </c>
      <c r="AH175">
        <f t="shared" si="123"/>
        <v>0</v>
      </c>
      <c r="AI175">
        <f t="shared" si="123"/>
        <v>0</v>
      </c>
      <c r="AJ175">
        <f t="shared" si="123"/>
        <v>0</v>
      </c>
      <c r="AK175">
        <v>530.41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1</v>
      </c>
      <c r="AW175">
        <v>1</v>
      </c>
      <c r="AZ175">
        <v>1</v>
      </c>
      <c r="BA175">
        <v>1</v>
      </c>
      <c r="BB175">
        <v>1</v>
      </c>
      <c r="BC175">
        <v>1</v>
      </c>
      <c r="BD175" t="s">
        <v>332</v>
      </c>
      <c r="BE175" t="s">
        <v>332</v>
      </c>
      <c r="BF175" t="s">
        <v>332</v>
      </c>
      <c r="BG175" t="s">
        <v>332</v>
      </c>
      <c r="BH175">
        <v>0</v>
      </c>
      <c r="BI175">
        <v>1</v>
      </c>
      <c r="BJ175" t="s">
        <v>308</v>
      </c>
      <c r="BM175">
        <v>700008</v>
      </c>
      <c r="BN175">
        <v>0</v>
      </c>
      <c r="BO175" t="s">
        <v>332</v>
      </c>
      <c r="BP175">
        <v>0</v>
      </c>
      <c r="BQ175">
        <v>10</v>
      </c>
      <c r="BR175">
        <v>0</v>
      </c>
      <c r="BS175">
        <v>1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332</v>
      </c>
      <c r="BZ175">
        <v>94</v>
      </c>
      <c r="CA175">
        <v>61</v>
      </c>
      <c r="CB175" t="s">
        <v>332</v>
      </c>
      <c r="CE175">
        <v>0</v>
      </c>
      <c r="CF175">
        <v>0</v>
      </c>
      <c r="CG175">
        <v>0</v>
      </c>
      <c r="CM175">
        <v>0</v>
      </c>
      <c r="CN175" t="s">
        <v>332</v>
      </c>
      <c r="CO175">
        <v>0</v>
      </c>
      <c r="CP175">
        <f>AB175*AZ175</f>
        <v>530.41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C175" t="s">
        <v>332</v>
      </c>
      <c r="DD175" t="s">
        <v>332</v>
      </c>
      <c r="DE175" t="s">
        <v>332</v>
      </c>
      <c r="DF175" t="s">
        <v>332</v>
      </c>
      <c r="DG175" t="s">
        <v>332</v>
      </c>
      <c r="DH175" t="s">
        <v>332</v>
      </c>
      <c r="DI175" t="s">
        <v>332</v>
      </c>
      <c r="DJ175" t="s">
        <v>332</v>
      </c>
      <c r="DK175" t="s">
        <v>332</v>
      </c>
      <c r="DL175" t="s">
        <v>332</v>
      </c>
      <c r="DM175" t="s">
        <v>332</v>
      </c>
      <c r="DN175">
        <v>0</v>
      </c>
      <c r="DO175">
        <v>0</v>
      </c>
      <c r="DP175">
        <v>1</v>
      </c>
      <c r="DQ175">
        <v>1</v>
      </c>
      <c r="DU175">
        <v>1013</v>
      </c>
      <c r="DV175" t="s">
        <v>555</v>
      </c>
      <c r="DW175" t="s">
        <v>555</v>
      </c>
      <c r="DX175">
        <v>1</v>
      </c>
      <c r="DZ175" t="s">
        <v>332</v>
      </c>
      <c r="EA175" t="s">
        <v>332</v>
      </c>
      <c r="EB175" t="s">
        <v>332</v>
      </c>
      <c r="EC175" t="s">
        <v>332</v>
      </c>
      <c r="EE175">
        <v>77313532</v>
      </c>
      <c r="EF175">
        <v>10</v>
      </c>
      <c r="EG175" t="s">
        <v>561</v>
      </c>
      <c r="EH175">
        <v>107</v>
      </c>
      <c r="EI175" t="s">
        <v>562</v>
      </c>
      <c r="EJ175">
        <v>1</v>
      </c>
      <c r="EK175">
        <v>700008</v>
      </c>
      <c r="EL175" t="s">
        <v>563</v>
      </c>
      <c r="EM175" t="s">
        <v>564</v>
      </c>
      <c r="EO175" t="s">
        <v>332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FQ175">
        <v>0</v>
      </c>
      <c r="FR175">
        <v>0</v>
      </c>
      <c r="FS175">
        <v>0</v>
      </c>
      <c r="FX175">
        <v>0</v>
      </c>
      <c r="FY175">
        <v>0</v>
      </c>
      <c r="GA175" t="s">
        <v>332</v>
      </c>
      <c r="GD175">
        <v>1</v>
      </c>
      <c r="GF175">
        <v>-429599911</v>
      </c>
      <c r="GG175">
        <v>2</v>
      </c>
      <c r="GH175">
        <v>1</v>
      </c>
      <c r="GI175">
        <v>-2</v>
      </c>
      <c r="GJ175">
        <v>2</v>
      </c>
      <c r="GK175">
        <v>0</v>
      </c>
      <c r="GL175">
        <f>ROUND(IF(AND(BH175=3,BI175=3,FS175&lt;&gt;0),P175,0),2)</f>
        <v>0</v>
      </c>
      <c r="GM175">
        <f>ROUND(CP175*I175,2)</f>
        <v>68.099999999999994</v>
      </c>
      <c r="GN175">
        <f>IF(OR(BI175=0,BI175=1),GM175-GX175,0)</f>
        <v>68.099999999999994</v>
      </c>
      <c r="GO175">
        <f>IF(BI175=2,GM175-GX175,0)</f>
        <v>0</v>
      </c>
      <c r="GP175">
        <f>IF(BI175=4,GM175-GX175,0)</f>
        <v>0</v>
      </c>
      <c r="GR175">
        <v>0</v>
      </c>
      <c r="GS175">
        <v>3</v>
      </c>
      <c r="GT175">
        <v>0</v>
      </c>
      <c r="GU175" t="s">
        <v>332</v>
      </c>
      <c r="GV175">
        <f>0</f>
        <v>0</v>
      </c>
      <c r="GW175">
        <v>1</v>
      </c>
      <c r="GX175">
        <f>0</f>
        <v>0</v>
      </c>
      <c r="HA175">
        <v>0</v>
      </c>
      <c r="HB175">
        <v>0</v>
      </c>
      <c r="HC175">
        <v>0</v>
      </c>
      <c r="HD175">
        <f>GM175</f>
        <v>68.099999999999994</v>
      </c>
      <c r="HE175" t="s">
        <v>332</v>
      </c>
      <c r="HF175" t="s">
        <v>332</v>
      </c>
      <c r="HM175" t="s">
        <v>332</v>
      </c>
      <c r="HN175" t="s">
        <v>565</v>
      </c>
      <c r="HO175" t="s">
        <v>566</v>
      </c>
      <c r="HP175" t="s">
        <v>562</v>
      </c>
      <c r="HQ175" t="s">
        <v>562</v>
      </c>
      <c r="HS175">
        <v>0</v>
      </c>
      <c r="IK175">
        <v>0</v>
      </c>
    </row>
    <row r="177" spans="1:206" x14ac:dyDescent="0.25">
      <c r="A177" s="7">
        <v>51</v>
      </c>
      <c r="B177" s="7">
        <f>B169</f>
        <v>1</v>
      </c>
      <c r="C177" s="7">
        <f>A169</f>
        <v>4</v>
      </c>
      <c r="D177" s="7">
        <f>ROW(A169)</f>
        <v>169</v>
      </c>
      <c r="E177" s="7"/>
      <c r="F177" s="7" t="str">
        <f>IF(F169&lt;&gt;"",F169,"")</f>
        <v>Новый раздел</v>
      </c>
      <c r="G177" s="7" t="str">
        <f>IF(G169&lt;&gt;"",G169,"")</f>
        <v>Работа 5</v>
      </c>
      <c r="H177" s="7">
        <v>0</v>
      </c>
      <c r="I177" s="7"/>
      <c r="J177" s="7"/>
      <c r="K177" s="7"/>
      <c r="L177" s="7"/>
      <c r="M177" s="7"/>
      <c r="N177" s="7"/>
      <c r="O177" s="7">
        <f t="shared" ref="O177:T177" si="124">ROUND(AB177,2)</f>
        <v>143.57</v>
      </c>
      <c r="P177" s="7">
        <f t="shared" si="124"/>
        <v>72.31</v>
      </c>
      <c r="Q177" s="7">
        <f t="shared" si="124"/>
        <v>0</v>
      </c>
      <c r="R177" s="7">
        <f t="shared" si="124"/>
        <v>0</v>
      </c>
      <c r="S177" s="7">
        <f t="shared" si="124"/>
        <v>71.260000000000005</v>
      </c>
      <c r="T177" s="7">
        <f t="shared" si="124"/>
        <v>0</v>
      </c>
      <c r="U177" s="7">
        <f>AH177</f>
        <v>0.13225200000000001</v>
      </c>
      <c r="V177" s="7">
        <f>AI177</f>
        <v>0</v>
      </c>
      <c r="W177" s="7">
        <f>ROUND(AJ177,2)</f>
        <v>0</v>
      </c>
      <c r="X177" s="7">
        <f>ROUND(AK177,2)</f>
        <v>65.56</v>
      </c>
      <c r="Y177" s="7">
        <f>ROUND(AL177,2)</f>
        <v>31.35</v>
      </c>
      <c r="Z177" s="7"/>
      <c r="AA177" s="7"/>
      <c r="AB177" s="7">
        <f>ROUND(SUMIF(AA173:AA175,"=78397139",O173:O175),2)</f>
        <v>143.57</v>
      </c>
      <c r="AC177" s="7">
        <f>ROUND(SUMIF(AA173:AA175,"=78397139",P173:P175),2)</f>
        <v>72.31</v>
      </c>
      <c r="AD177" s="7">
        <f>ROUND(SUMIF(AA173:AA175,"=78397139",Q173:Q175),2)</f>
        <v>0</v>
      </c>
      <c r="AE177" s="7">
        <f>ROUND(SUMIF(AA173:AA175,"=78397139",R173:R175),2)</f>
        <v>0</v>
      </c>
      <c r="AF177" s="7">
        <f>ROUND(SUMIF(AA173:AA175,"=78397139",S173:S175),2)</f>
        <v>71.260000000000005</v>
      </c>
      <c r="AG177" s="7">
        <f>ROUND(SUMIF(AA173:AA175,"=78397139",T173:T175),2)</f>
        <v>0</v>
      </c>
      <c r="AH177" s="7">
        <f>SUMIF(AA173:AA175,"=78397139",U173:U175)</f>
        <v>0.13225200000000001</v>
      </c>
      <c r="AI177" s="7">
        <f>SUMIF(AA173:AA175,"=78397139",V173:V175)</f>
        <v>0</v>
      </c>
      <c r="AJ177" s="7">
        <f>ROUND(SUMIF(AA173:AA175,"=78397139",W173:W175),2)</f>
        <v>0</v>
      </c>
      <c r="AK177" s="7">
        <f>ROUND(SUMIF(AA173:AA175,"=78397139",X173:X175),2)</f>
        <v>65.56</v>
      </c>
      <c r="AL177" s="7">
        <f>ROUND(SUMIF(AA173:AA175,"=78397139",Y173:Y175),2)</f>
        <v>31.35</v>
      </c>
      <c r="AM177" s="7"/>
      <c r="AN177" s="7"/>
      <c r="AO177" s="7">
        <f t="shared" ref="AO177:BD177" si="125">ROUND(BX177,2)</f>
        <v>0</v>
      </c>
      <c r="AP177" s="7">
        <f t="shared" si="125"/>
        <v>0</v>
      </c>
      <c r="AQ177" s="7">
        <f t="shared" si="125"/>
        <v>0</v>
      </c>
      <c r="AR177" s="7">
        <f t="shared" si="125"/>
        <v>500.94</v>
      </c>
      <c r="AS177" s="7">
        <f t="shared" si="125"/>
        <v>500.94</v>
      </c>
      <c r="AT177" s="7">
        <f t="shared" si="125"/>
        <v>0</v>
      </c>
      <c r="AU177" s="7">
        <f t="shared" si="125"/>
        <v>0</v>
      </c>
      <c r="AV177" s="7">
        <f t="shared" si="125"/>
        <v>72.31</v>
      </c>
      <c r="AW177" s="7">
        <f t="shared" si="125"/>
        <v>72.31</v>
      </c>
      <c r="AX177" s="7">
        <f t="shared" si="125"/>
        <v>0</v>
      </c>
      <c r="AY177" s="7">
        <f t="shared" si="125"/>
        <v>72.31</v>
      </c>
      <c r="AZ177" s="7">
        <f t="shared" si="125"/>
        <v>0</v>
      </c>
      <c r="BA177" s="7">
        <f t="shared" si="125"/>
        <v>0</v>
      </c>
      <c r="BB177" s="7">
        <f t="shared" si="125"/>
        <v>0</v>
      </c>
      <c r="BC177" s="7">
        <f t="shared" si="125"/>
        <v>0</v>
      </c>
      <c r="BD177" s="7">
        <f t="shared" si="125"/>
        <v>260.45999999999998</v>
      </c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>
        <f>ROUND(SUMIF(AA173:AA175,"=78397139",FQ173:FQ175),2)</f>
        <v>0</v>
      </c>
      <c r="BY177" s="7">
        <f>ROUND(SUMIF(AA173:AA175,"=78397139",FR173:FR175),2)</f>
        <v>0</v>
      </c>
      <c r="BZ177" s="7">
        <f>ROUND(SUMIF(AA173:AA175,"=78397139",GL173:GL175),2)</f>
        <v>0</v>
      </c>
      <c r="CA177" s="7">
        <f>ROUND(SUMIF(AA173:AA175,"=78397139",GM173:GM175),2)</f>
        <v>500.94</v>
      </c>
      <c r="CB177" s="7">
        <f>ROUND(SUMIF(AA173:AA175,"=78397139",GN173:GN175),2)</f>
        <v>500.94</v>
      </c>
      <c r="CC177" s="7">
        <f>ROUND(SUMIF(AA173:AA175,"=78397139",GO173:GO175),2)</f>
        <v>0</v>
      </c>
      <c r="CD177" s="7">
        <f>ROUND(SUMIF(AA173:AA175,"=78397139",GP173:GP175),2)</f>
        <v>0</v>
      </c>
      <c r="CE177" s="7">
        <f>AC177-BX177</f>
        <v>72.31</v>
      </c>
      <c r="CF177" s="7">
        <f>AC177-BY177</f>
        <v>72.31</v>
      </c>
      <c r="CG177" s="7">
        <f>BX177-BZ177</f>
        <v>0</v>
      </c>
      <c r="CH177" s="7">
        <f>AC177-BX177-BY177+BZ177</f>
        <v>72.31</v>
      </c>
      <c r="CI177" s="7">
        <f>BY177-BZ177</f>
        <v>0</v>
      </c>
      <c r="CJ177" s="7">
        <f>ROUND(SUMIF(AA173:AA175,"=78397139",GX173:GX175),2)</f>
        <v>0</v>
      </c>
      <c r="CK177" s="7">
        <f>ROUND(SUMIF(AA173:AA175,"=78397139",GY173:GY175),2)</f>
        <v>0</v>
      </c>
      <c r="CL177" s="7">
        <f>ROUND(SUMIF(AA173:AA175,"=78397139",GZ173:GZ175),2)</f>
        <v>0</v>
      </c>
      <c r="CM177" s="7">
        <f>ROUND(SUMIF(AA173:AA175,"=78397139",HD173:HD175),2)</f>
        <v>260.45999999999998</v>
      </c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>
        <v>0</v>
      </c>
    </row>
    <row r="179" spans="1:206" x14ac:dyDescent="0.25">
      <c r="A179" s="4">
        <v>50</v>
      </c>
      <c r="B179" s="4">
        <v>0</v>
      </c>
      <c r="C179" s="4">
        <v>0</v>
      </c>
      <c r="D179" s="4">
        <v>1</v>
      </c>
      <c r="E179" s="4">
        <v>201</v>
      </c>
      <c r="F179" s="4">
        <f>ROUND(Source!O177,O179)</f>
        <v>143.57</v>
      </c>
      <c r="G179" s="4" t="s">
        <v>422</v>
      </c>
      <c r="H179" s="4" t="s">
        <v>423</v>
      </c>
      <c r="I179" s="4"/>
      <c r="J179" s="4"/>
      <c r="K179" s="4">
        <v>201</v>
      </c>
      <c r="L179" s="4">
        <v>1</v>
      </c>
      <c r="M179" s="4">
        <v>3</v>
      </c>
      <c r="N179" s="4" t="s">
        <v>332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404.03</v>
      </c>
      <c r="X179" s="4">
        <v>1</v>
      </c>
      <c r="Y179" s="4">
        <v>404.03</v>
      </c>
      <c r="Z179" s="4"/>
      <c r="AA179" s="4"/>
      <c r="AB179" s="4"/>
    </row>
    <row r="180" spans="1:206" x14ac:dyDescent="0.25">
      <c r="A180" s="4">
        <v>50</v>
      </c>
      <c r="B180" s="4">
        <v>0</v>
      </c>
      <c r="C180" s="4">
        <v>0</v>
      </c>
      <c r="D180" s="4">
        <v>1</v>
      </c>
      <c r="E180" s="4">
        <v>202</v>
      </c>
      <c r="F180" s="4">
        <f>ROUND(Source!P177,O180)</f>
        <v>72.31</v>
      </c>
      <c r="G180" s="4" t="s">
        <v>424</v>
      </c>
      <c r="H180" s="4" t="s">
        <v>425</v>
      </c>
      <c r="I180" s="4"/>
      <c r="J180" s="4"/>
      <c r="K180" s="4">
        <v>202</v>
      </c>
      <c r="L180" s="4">
        <v>2</v>
      </c>
      <c r="M180" s="4">
        <v>3</v>
      </c>
      <c r="N180" s="4" t="s">
        <v>332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72.31</v>
      </c>
      <c r="X180" s="4">
        <v>1</v>
      </c>
      <c r="Y180" s="4">
        <v>72.31</v>
      </c>
      <c r="Z180" s="4"/>
      <c r="AA180" s="4"/>
      <c r="AB180" s="4"/>
    </row>
    <row r="181" spans="1:206" x14ac:dyDescent="0.25">
      <c r="A181" s="4">
        <v>50</v>
      </c>
      <c r="B181" s="4">
        <v>0</v>
      </c>
      <c r="C181" s="4">
        <v>0</v>
      </c>
      <c r="D181" s="4">
        <v>1</v>
      </c>
      <c r="E181" s="4">
        <v>222</v>
      </c>
      <c r="F181" s="4">
        <f>ROUND(Source!AO177,O181)</f>
        <v>0</v>
      </c>
      <c r="G181" s="4" t="s">
        <v>426</v>
      </c>
      <c r="H181" s="4" t="s">
        <v>427</v>
      </c>
      <c r="I181" s="4"/>
      <c r="J181" s="4"/>
      <c r="K181" s="4">
        <v>222</v>
      </c>
      <c r="L181" s="4">
        <v>3</v>
      </c>
      <c r="M181" s="4">
        <v>3</v>
      </c>
      <c r="N181" s="4" t="s">
        <v>332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206" x14ac:dyDescent="0.25">
      <c r="A182" s="4">
        <v>50</v>
      </c>
      <c r="B182" s="4">
        <v>0</v>
      </c>
      <c r="C182" s="4">
        <v>0</v>
      </c>
      <c r="D182" s="4">
        <v>1</v>
      </c>
      <c r="E182" s="4">
        <v>225</v>
      </c>
      <c r="F182" s="4">
        <f>ROUND(Source!AV177,O182)</f>
        <v>72.31</v>
      </c>
      <c r="G182" s="4" t="s">
        <v>428</v>
      </c>
      <c r="H182" s="4" t="s">
        <v>429</v>
      </c>
      <c r="I182" s="4"/>
      <c r="J182" s="4"/>
      <c r="K182" s="4">
        <v>225</v>
      </c>
      <c r="L182" s="4">
        <v>4</v>
      </c>
      <c r="M182" s="4">
        <v>3</v>
      </c>
      <c r="N182" s="4" t="s">
        <v>332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72.31</v>
      </c>
      <c r="X182" s="4">
        <v>1</v>
      </c>
      <c r="Y182" s="4">
        <v>72.31</v>
      </c>
      <c r="Z182" s="4"/>
      <c r="AA182" s="4"/>
      <c r="AB182" s="4"/>
    </row>
    <row r="183" spans="1:206" x14ac:dyDescent="0.25">
      <c r="A183" s="4">
        <v>50</v>
      </c>
      <c r="B183" s="4">
        <v>0</v>
      </c>
      <c r="C183" s="4">
        <v>0</v>
      </c>
      <c r="D183" s="4">
        <v>1</v>
      </c>
      <c r="E183" s="4">
        <v>226</v>
      </c>
      <c r="F183" s="4">
        <f>ROUND(Source!AW177,O183)</f>
        <v>72.31</v>
      </c>
      <c r="G183" s="4" t="s">
        <v>430</v>
      </c>
      <c r="H183" s="4" t="s">
        <v>431</v>
      </c>
      <c r="I183" s="4"/>
      <c r="J183" s="4"/>
      <c r="K183" s="4">
        <v>226</v>
      </c>
      <c r="L183" s="4">
        <v>5</v>
      </c>
      <c r="M183" s="4">
        <v>3</v>
      </c>
      <c r="N183" s="4" t="s">
        <v>332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72.31</v>
      </c>
      <c r="X183" s="4">
        <v>1</v>
      </c>
      <c r="Y183" s="4">
        <v>72.31</v>
      </c>
      <c r="Z183" s="4"/>
      <c r="AA183" s="4"/>
      <c r="AB183" s="4"/>
    </row>
    <row r="184" spans="1:206" x14ac:dyDescent="0.25">
      <c r="A184" s="4">
        <v>50</v>
      </c>
      <c r="B184" s="4">
        <v>0</v>
      </c>
      <c r="C184" s="4">
        <v>0</v>
      </c>
      <c r="D184" s="4">
        <v>1</v>
      </c>
      <c r="E184" s="4">
        <v>227</v>
      </c>
      <c r="F184" s="4">
        <f>ROUND(Source!AX177,O184)</f>
        <v>0</v>
      </c>
      <c r="G184" s="4" t="s">
        <v>432</v>
      </c>
      <c r="H184" s="4" t="s">
        <v>433</v>
      </c>
      <c r="I184" s="4"/>
      <c r="J184" s="4"/>
      <c r="K184" s="4">
        <v>227</v>
      </c>
      <c r="L184" s="4">
        <v>6</v>
      </c>
      <c r="M184" s="4">
        <v>3</v>
      </c>
      <c r="N184" s="4" t="s">
        <v>332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0</v>
      </c>
      <c r="X184" s="4">
        <v>1</v>
      </c>
      <c r="Y184" s="4">
        <v>0</v>
      </c>
      <c r="Z184" s="4"/>
      <c r="AA184" s="4"/>
      <c r="AB184" s="4"/>
    </row>
    <row r="185" spans="1:206" x14ac:dyDescent="0.25">
      <c r="A185" s="4">
        <v>50</v>
      </c>
      <c r="B185" s="4">
        <v>0</v>
      </c>
      <c r="C185" s="4">
        <v>0</v>
      </c>
      <c r="D185" s="4">
        <v>1</v>
      </c>
      <c r="E185" s="4">
        <v>228</v>
      </c>
      <c r="F185" s="4">
        <f>ROUND(Source!AY177,O185)</f>
        <v>72.31</v>
      </c>
      <c r="G185" s="4" t="s">
        <v>434</v>
      </c>
      <c r="H185" s="4" t="s">
        <v>435</v>
      </c>
      <c r="I185" s="4"/>
      <c r="J185" s="4"/>
      <c r="K185" s="4">
        <v>228</v>
      </c>
      <c r="L185" s="4">
        <v>7</v>
      </c>
      <c r="M185" s="4">
        <v>3</v>
      </c>
      <c r="N185" s="4" t="s">
        <v>332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72.31</v>
      </c>
      <c r="X185" s="4">
        <v>1</v>
      </c>
      <c r="Y185" s="4">
        <v>72.31</v>
      </c>
      <c r="Z185" s="4"/>
      <c r="AA185" s="4"/>
      <c r="AB185" s="4"/>
    </row>
    <row r="186" spans="1:206" x14ac:dyDescent="0.25">
      <c r="A186" s="4">
        <v>50</v>
      </c>
      <c r="B186" s="4">
        <v>0</v>
      </c>
      <c r="C186" s="4">
        <v>0</v>
      </c>
      <c r="D186" s="4">
        <v>1</v>
      </c>
      <c r="E186" s="4">
        <v>216</v>
      </c>
      <c r="F186" s="4">
        <f>ROUND(Source!AP177,O186)</f>
        <v>0</v>
      </c>
      <c r="G186" s="4" t="s">
        <v>436</v>
      </c>
      <c r="H186" s="4" t="s">
        <v>437</v>
      </c>
      <c r="I186" s="4"/>
      <c r="J186" s="4"/>
      <c r="K186" s="4">
        <v>216</v>
      </c>
      <c r="L186" s="4">
        <v>8</v>
      </c>
      <c r="M186" s="4">
        <v>3</v>
      </c>
      <c r="N186" s="4" t="s">
        <v>332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206" x14ac:dyDescent="0.25">
      <c r="A187" s="4">
        <v>50</v>
      </c>
      <c r="B187" s="4">
        <v>0</v>
      </c>
      <c r="C187" s="4">
        <v>0</v>
      </c>
      <c r="D187" s="4">
        <v>1</v>
      </c>
      <c r="E187" s="4">
        <v>223</v>
      </c>
      <c r="F187" s="4">
        <f>ROUND(Source!AQ177,O187)</f>
        <v>0</v>
      </c>
      <c r="G187" s="4" t="s">
        <v>438</v>
      </c>
      <c r="H187" s="4" t="s">
        <v>439</v>
      </c>
      <c r="I187" s="4"/>
      <c r="J187" s="4"/>
      <c r="K187" s="4">
        <v>223</v>
      </c>
      <c r="L187" s="4">
        <v>9</v>
      </c>
      <c r="M187" s="4">
        <v>3</v>
      </c>
      <c r="N187" s="4" t="s">
        <v>332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0</v>
      </c>
      <c r="X187" s="4">
        <v>1</v>
      </c>
      <c r="Y187" s="4">
        <v>0</v>
      </c>
      <c r="Z187" s="4"/>
      <c r="AA187" s="4"/>
      <c r="AB187" s="4"/>
    </row>
    <row r="188" spans="1:206" x14ac:dyDescent="0.25">
      <c r="A188" s="4">
        <v>50</v>
      </c>
      <c r="B188" s="4">
        <v>0</v>
      </c>
      <c r="C188" s="4">
        <v>0</v>
      </c>
      <c r="D188" s="4">
        <v>1</v>
      </c>
      <c r="E188" s="4">
        <v>229</v>
      </c>
      <c r="F188" s="4">
        <f>ROUND(Source!AZ177,O188)</f>
        <v>0</v>
      </c>
      <c r="G188" s="4" t="s">
        <v>440</v>
      </c>
      <c r="H188" s="4" t="s">
        <v>441</v>
      </c>
      <c r="I188" s="4"/>
      <c r="J188" s="4"/>
      <c r="K188" s="4">
        <v>229</v>
      </c>
      <c r="L188" s="4">
        <v>10</v>
      </c>
      <c r="M188" s="4">
        <v>3</v>
      </c>
      <c r="N188" s="4" t="s">
        <v>332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0</v>
      </c>
      <c r="X188" s="4">
        <v>1</v>
      </c>
      <c r="Y188" s="4">
        <v>0</v>
      </c>
      <c r="Z188" s="4"/>
      <c r="AA188" s="4"/>
      <c r="AB188" s="4"/>
    </row>
    <row r="189" spans="1:206" x14ac:dyDescent="0.25">
      <c r="A189" s="4">
        <v>50</v>
      </c>
      <c r="B189" s="4">
        <v>0</v>
      </c>
      <c r="C189" s="4">
        <v>0</v>
      </c>
      <c r="D189" s="4">
        <v>1</v>
      </c>
      <c r="E189" s="4">
        <v>203</v>
      </c>
      <c r="F189" s="4">
        <f>ROUND(Source!Q177,O189)</f>
        <v>0</v>
      </c>
      <c r="G189" s="4" t="s">
        <v>442</v>
      </c>
      <c r="H189" s="4" t="s">
        <v>443</v>
      </c>
      <c r="I189" s="4"/>
      <c r="J189" s="4"/>
      <c r="K189" s="4">
        <v>203</v>
      </c>
      <c r="L189" s="4">
        <v>11</v>
      </c>
      <c r="M189" s="4">
        <v>3</v>
      </c>
      <c r="N189" s="4" t="s">
        <v>332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0</v>
      </c>
      <c r="X189" s="4">
        <v>1</v>
      </c>
      <c r="Y189" s="4">
        <v>0</v>
      </c>
      <c r="Z189" s="4"/>
      <c r="AA189" s="4"/>
      <c r="AB189" s="4"/>
    </row>
    <row r="190" spans="1:206" x14ac:dyDescent="0.25">
      <c r="A190" s="4">
        <v>50</v>
      </c>
      <c r="B190" s="4">
        <v>0</v>
      </c>
      <c r="C190" s="4">
        <v>0</v>
      </c>
      <c r="D190" s="4">
        <v>1</v>
      </c>
      <c r="E190" s="4">
        <v>231</v>
      </c>
      <c r="F190" s="4">
        <f>ROUND(Source!BB177,O190)</f>
        <v>0</v>
      </c>
      <c r="G190" s="4" t="s">
        <v>444</v>
      </c>
      <c r="H190" s="4" t="s">
        <v>445</v>
      </c>
      <c r="I190" s="4"/>
      <c r="J190" s="4"/>
      <c r="K190" s="4">
        <v>231</v>
      </c>
      <c r="L190" s="4">
        <v>12</v>
      </c>
      <c r="M190" s="4">
        <v>3</v>
      </c>
      <c r="N190" s="4" t="s">
        <v>332</v>
      </c>
      <c r="O190" s="4">
        <v>2</v>
      </c>
      <c r="P190" s="4"/>
      <c r="Q190" s="4"/>
      <c r="R190" s="4"/>
      <c r="S190" s="4"/>
      <c r="T190" s="4"/>
      <c r="U190" s="4"/>
      <c r="V190" s="4"/>
      <c r="W190" s="4">
        <v>0</v>
      </c>
      <c r="X190" s="4">
        <v>1</v>
      </c>
      <c r="Y190" s="4">
        <v>0</v>
      </c>
      <c r="Z190" s="4"/>
      <c r="AA190" s="4"/>
      <c r="AB190" s="4"/>
    </row>
    <row r="191" spans="1:206" x14ac:dyDescent="0.25">
      <c r="A191" s="4">
        <v>50</v>
      </c>
      <c r="B191" s="4">
        <v>0</v>
      </c>
      <c r="C191" s="4">
        <v>0</v>
      </c>
      <c r="D191" s="4">
        <v>1</v>
      </c>
      <c r="E191" s="4">
        <v>204</v>
      </c>
      <c r="F191" s="4">
        <f>ROUND(Source!R177,O191)</f>
        <v>0</v>
      </c>
      <c r="G191" s="4" t="s">
        <v>446</v>
      </c>
      <c r="H191" s="4" t="s">
        <v>447</v>
      </c>
      <c r="I191" s="4"/>
      <c r="J191" s="4"/>
      <c r="K191" s="4">
        <v>204</v>
      </c>
      <c r="L191" s="4">
        <v>13</v>
      </c>
      <c r="M191" s="4">
        <v>3</v>
      </c>
      <c r="N191" s="4" t="s">
        <v>332</v>
      </c>
      <c r="O191" s="4">
        <v>2</v>
      </c>
      <c r="P191" s="4"/>
      <c r="Q191" s="4"/>
      <c r="R191" s="4"/>
      <c r="S191" s="4"/>
      <c r="T191" s="4"/>
      <c r="U191" s="4"/>
      <c r="V191" s="4"/>
      <c r="W191" s="4">
        <v>0</v>
      </c>
      <c r="X191" s="4">
        <v>1</v>
      </c>
      <c r="Y191" s="4">
        <v>0</v>
      </c>
      <c r="Z191" s="4"/>
      <c r="AA191" s="4"/>
      <c r="AB191" s="4"/>
    </row>
    <row r="192" spans="1:206" x14ac:dyDescent="0.25">
      <c r="A192" s="4">
        <v>50</v>
      </c>
      <c r="B192" s="4">
        <v>0</v>
      </c>
      <c r="C192" s="4">
        <v>0</v>
      </c>
      <c r="D192" s="4">
        <v>1</v>
      </c>
      <c r="E192" s="4">
        <v>205</v>
      </c>
      <c r="F192" s="4">
        <f>ROUND(Source!S177,O192)</f>
        <v>71.260000000000005</v>
      </c>
      <c r="G192" s="4" t="s">
        <v>448</v>
      </c>
      <c r="H192" s="4" t="s">
        <v>449</v>
      </c>
      <c r="I192" s="4"/>
      <c r="J192" s="4"/>
      <c r="K192" s="4">
        <v>205</v>
      </c>
      <c r="L192" s="4">
        <v>14</v>
      </c>
      <c r="M192" s="4">
        <v>3</v>
      </c>
      <c r="N192" s="4" t="s">
        <v>332</v>
      </c>
      <c r="O192" s="4">
        <v>2</v>
      </c>
      <c r="P192" s="4"/>
      <c r="Q192" s="4"/>
      <c r="R192" s="4"/>
      <c r="S192" s="4"/>
      <c r="T192" s="4"/>
      <c r="U192" s="4"/>
      <c r="V192" s="4"/>
      <c r="W192" s="4">
        <v>71.260000000000005</v>
      </c>
      <c r="X192" s="4">
        <v>1</v>
      </c>
      <c r="Y192" s="4">
        <v>71.260000000000005</v>
      </c>
      <c r="Z192" s="4"/>
      <c r="AA192" s="4"/>
      <c r="AB192" s="4"/>
    </row>
    <row r="193" spans="1:206" x14ac:dyDescent="0.25">
      <c r="A193" s="4">
        <v>50</v>
      </c>
      <c r="B193" s="4">
        <v>0</v>
      </c>
      <c r="C193" s="4">
        <v>0</v>
      </c>
      <c r="D193" s="4">
        <v>1</v>
      </c>
      <c r="E193" s="4">
        <v>232</v>
      </c>
      <c r="F193" s="4">
        <f>ROUND(Source!BC177,O193)</f>
        <v>0</v>
      </c>
      <c r="G193" s="4" t="s">
        <v>450</v>
      </c>
      <c r="H193" s="4" t="s">
        <v>451</v>
      </c>
      <c r="I193" s="4"/>
      <c r="J193" s="4"/>
      <c r="K193" s="4">
        <v>232</v>
      </c>
      <c r="L193" s="4">
        <v>15</v>
      </c>
      <c r="M193" s="4">
        <v>3</v>
      </c>
      <c r="N193" s="4" t="s">
        <v>332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0</v>
      </c>
      <c r="X193" s="4">
        <v>1</v>
      </c>
      <c r="Y193" s="4">
        <v>0</v>
      </c>
      <c r="Z193" s="4"/>
      <c r="AA193" s="4"/>
      <c r="AB193" s="4"/>
    </row>
    <row r="194" spans="1:206" x14ac:dyDescent="0.25">
      <c r="A194" s="4">
        <v>50</v>
      </c>
      <c r="B194" s="4">
        <v>0</v>
      </c>
      <c r="C194" s="4">
        <v>0</v>
      </c>
      <c r="D194" s="4">
        <v>1</v>
      </c>
      <c r="E194" s="4">
        <v>214</v>
      </c>
      <c r="F194" s="4">
        <f>ROUND(Source!AS177,O194)</f>
        <v>500.94</v>
      </c>
      <c r="G194" s="4" t="s">
        <v>452</v>
      </c>
      <c r="H194" s="4" t="s">
        <v>453</v>
      </c>
      <c r="I194" s="4"/>
      <c r="J194" s="4"/>
      <c r="K194" s="4">
        <v>214</v>
      </c>
      <c r="L194" s="4">
        <v>16</v>
      </c>
      <c r="M194" s="4">
        <v>3</v>
      </c>
      <c r="N194" s="4" t="s">
        <v>332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500.94</v>
      </c>
      <c r="X194" s="4">
        <v>1</v>
      </c>
      <c r="Y194" s="4">
        <v>500.94</v>
      </c>
      <c r="Z194" s="4"/>
      <c r="AA194" s="4"/>
      <c r="AB194" s="4"/>
    </row>
    <row r="195" spans="1:206" x14ac:dyDescent="0.25">
      <c r="A195" s="4">
        <v>50</v>
      </c>
      <c r="B195" s="4">
        <v>0</v>
      </c>
      <c r="C195" s="4">
        <v>0</v>
      </c>
      <c r="D195" s="4">
        <v>1</v>
      </c>
      <c r="E195" s="4">
        <v>215</v>
      </c>
      <c r="F195" s="4">
        <f>ROUND(Source!AT177,O195)</f>
        <v>0</v>
      </c>
      <c r="G195" s="4" t="s">
        <v>454</v>
      </c>
      <c r="H195" s="4" t="s">
        <v>455</v>
      </c>
      <c r="I195" s="4"/>
      <c r="J195" s="4"/>
      <c r="K195" s="4">
        <v>215</v>
      </c>
      <c r="L195" s="4">
        <v>17</v>
      </c>
      <c r="M195" s="4">
        <v>3</v>
      </c>
      <c r="N195" s="4" t="s">
        <v>332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</row>
    <row r="196" spans="1:206" x14ac:dyDescent="0.25">
      <c r="A196" s="4">
        <v>50</v>
      </c>
      <c r="B196" s="4">
        <v>0</v>
      </c>
      <c r="C196" s="4">
        <v>0</v>
      </c>
      <c r="D196" s="4">
        <v>1</v>
      </c>
      <c r="E196" s="4">
        <v>217</v>
      </c>
      <c r="F196" s="4">
        <f>ROUND(Source!AU177,O196)</f>
        <v>0</v>
      </c>
      <c r="G196" s="4" t="s">
        <v>456</v>
      </c>
      <c r="H196" s="4" t="s">
        <v>457</v>
      </c>
      <c r="I196" s="4"/>
      <c r="J196" s="4"/>
      <c r="K196" s="4">
        <v>217</v>
      </c>
      <c r="L196" s="4">
        <v>18</v>
      </c>
      <c r="M196" s="4">
        <v>3</v>
      </c>
      <c r="N196" s="4" t="s">
        <v>332</v>
      </c>
      <c r="O196" s="4">
        <v>2</v>
      </c>
      <c r="P196" s="4"/>
      <c r="Q196" s="4"/>
      <c r="R196" s="4"/>
      <c r="S196" s="4"/>
      <c r="T196" s="4"/>
      <c r="U196" s="4"/>
      <c r="V196" s="4"/>
      <c r="W196" s="4">
        <v>0</v>
      </c>
      <c r="X196" s="4">
        <v>1</v>
      </c>
      <c r="Y196" s="4">
        <v>0</v>
      </c>
      <c r="Z196" s="4"/>
      <c r="AA196" s="4"/>
      <c r="AB196" s="4"/>
    </row>
    <row r="197" spans="1:206" x14ac:dyDescent="0.25">
      <c r="A197" s="4">
        <v>50</v>
      </c>
      <c r="B197" s="4">
        <v>0</v>
      </c>
      <c r="C197" s="4">
        <v>0</v>
      </c>
      <c r="D197" s="4">
        <v>1</v>
      </c>
      <c r="E197" s="4">
        <v>230</v>
      </c>
      <c r="F197" s="4">
        <f>ROUND(Source!BA177,O197)</f>
        <v>0</v>
      </c>
      <c r="G197" s="4" t="s">
        <v>458</v>
      </c>
      <c r="H197" s="4" t="s">
        <v>459</v>
      </c>
      <c r="I197" s="4"/>
      <c r="J197" s="4"/>
      <c r="K197" s="4">
        <v>230</v>
      </c>
      <c r="L197" s="4">
        <v>19</v>
      </c>
      <c r="M197" s="4">
        <v>3</v>
      </c>
      <c r="N197" s="4" t="s">
        <v>332</v>
      </c>
      <c r="O197" s="4">
        <v>2</v>
      </c>
      <c r="P197" s="4"/>
      <c r="Q197" s="4"/>
      <c r="R197" s="4"/>
      <c r="S197" s="4"/>
      <c r="T197" s="4"/>
      <c r="U197" s="4"/>
      <c r="V197" s="4"/>
      <c r="W197" s="4">
        <v>0</v>
      </c>
      <c r="X197" s="4">
        <v>1</v>
      </c>
      <c r="Y197" s="4">
        <v>0</v>
      </c>
      <c r="Z197" s="4"/>
      <c r="AA197" s="4"/>
      <c r="AB197" s="4"/>
    </row>
    <row r="198" spans="1:206" x14ac:dyDescent="0.25">
      <c r="A198" s="4">
        <v>50</v>
      </c>
      <c r="B198" s="4">
        <v>0</v>
      </c>
      <c r="C198" s="4">
        <v>0</v>
      </c>
      <c r="D198" s="4">
        <v>1</v>
      </c>
      <c r="E198" s="4">
        <v>206</v>
      </c>
      <c r="F198" s="4">
        <f>ROUND(Source!T177,O198)</f>
        <v>0</v>
      </c>
      <c r="G198" s="4" t="s">
        <v>460</v>
      </c>
      <c r="H198" s="4" t="s">
        <v>461</v>
      </c>
      <c r="I198" s="4"/>
      <c r="J198" s="4"/>
      <c r="K198" s="4">
        <v>206</v>
      </c>
      <c r="L198" s="4">
        <v>20</v>
      </c>
      <c r="M198" s="4">
        <v>3</v>
      </c>
      <c r="N198" s="4" t="s">
        <v>332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0</v>
      </c>
      <c r="X198" s="4">
        <v>1</v>
      </c>
      <c r="Y198" s="4">
        <v>0</v>
      </c>
      <c r="Z198" s="4"/>
      <c r="AA198" s="4"/>
      <c r="AB198" s="4"/>
    </row>
    <row r="199" spans="1:206" x14ac:dyDescent="0.25">
      <c r="A199" s="4">
        <v>50</v>
      </c>
      <c r="B199" s="4">
        <v>0</v>
      </c>
      <c r="C199" s="4">
        <v>0</v>
      </c>
      <c r="D199" s="4">
        <v>1</v>
      </c>
      <c r="E199" s="4">
        <v>207</v>
      </c>
      <c r="F199" s="4">
        <f>ROUND(Source!U177,O199)</f>
        <v>0.13225200000000001</v>
      </c>
      <c r="G199" s="4" t="s">
        <v>462</v>
      </c>
      <c r="H199" s="4" t="s">
        <v>463</v>
      </c>
      <c r="I199" s="4"/>
      <c r="J199" s="4"/>
      <c r="K199" s="4">
        <v>207</v>
      </c>
      <c r="L199" s="4">
        <v>21</v>
      </c>
      <c r="M199" s="4">
        <v>3</v>
      </c>
      <c r="N199" s="4" t="s">
        <v>332</v>
      </c>
      <c r="O199" s="4">
        <v>7</v>
      </c>
      <c r="P199" s="4"/>
      <c r="Q199" s="4"/>
      <c r="R199" s="4"/>
      <c r="S199" s="4"/>
      <c r="T199" s="4"/>
      <c r="U199" s="4"/>
      <c r="V199" s="4"/>
      <c r="W199" s="4">
        <v>0.13225200000000001</v>
      </c>
      <c r="X199" s="4">
        <v>1</v>
      </c>
      <c r="Y199" s="4">
        <v>0.13225200000000001</v>
      </c>
      <c r="Z199" s="4"/>
      <c r="AA199" s="4"/>
      <c r="AB199" s="4"/>
    </row>
    <row r="200" spans="1:206" x14ac:dyDescent="0.25">
      <c r="A200" s="4">
        <v>50</v>
      </c>
      <c r="B200" s="4">
        <v>0</v>
      </c>
      <c r="C200" s="4">
        <v>0</v>
      </c>
      <c r="D200" s="4">
        <v>1</v>
      </c>
      <c r="E200" s="4">
        <v>208</v>
      </c>
      <c r="F200" s="4">
        <f>ROUND(Source!V177,O200)</f>
        <v>0</v>
      </c>
      <c r="G200" s="4" t="s">
        <v>464</v>
      </c>
      <c r="H200" s="4" t="s">
        <v>465</v>
      </c>
      <c r="I200" s="4"/>
      <c r="J200" s="4"/>
      <c r="K200" s="4">
        <v>208</v>
      </c>
      <c r="L200" s="4">
        <v>22</v>
      </c>
      <c r="M200" s="4">
        <v>3</v>
      </c>
      <c r="N200" s="4" t="s">
        <v>332</v>
      </c>
      <c r="O200" s="4">
        <v>7</v>
      </c>
      <c r="P200" s="4"/>
      <c r="Q200" s="4"/>
      <c r="R200" s="4"/>
      <c r="S200" s="4"/>
      <c r="T200" s="4"/>
      <c r="U200" s="4"/>
      <c r="V200" s="4"/>
      <c r="W200" s="4">
        <v>0</v>
      </c>
      <c r="X200" s="4">
        <v>1</v>
      </c>
      <c r="Y200" s="4">
        <v>0</v>
      </c>
      <c r="Z200" s="4"/>
      <c r="AA200" s="4"/>
      <c r="AB200" s="4"/>
    </row>
    <row r="201" spans="1:206" x14ac:dyDescent="0.25">
      <c r="A201" s="4">
        <v>50</v>
      </c>
      <c r="B201" s="4">
        <v>0</v>
      </c>
      <c r="C201" s="4">
        <v>0</v>
      </c>
      <c r="D201" s="4">
        <v>1</v>
      </c>
      <c r="E201" s="4">
        <v>209</v>
      </c>
      <c r="F201" s="4">
        <f>ROUND(Source!W177,O201)</f>
        <v>0</v>
      </c>
      <c r="G201" s="4" t="s">
        <v>466</v>
      </c>
      <c r="H201" s="4" t="s">
        <v>467</v>
      </c>
      <c r="I201" s="4"/>
      <c r="J201" s="4"/>
      <c r="K201" s="4">
        <v>209</v>
      </c>
      <c r="L201" s="4">
        <v>23</v>
      </c>
      <c r="M201" s="4">
        <v>3</v>
      </c>
      <c r="N201" s="4" t="s">
        <v>332</v>
      </c>
      <c r="O201" s="4">
        <v>2</v>
      </c>
      <c r="P201" s="4"/>
      <c r="Q201" s="4"/>
      <c r="R201" s="4"/>
      <c r="S201" s="4"/>
      <c r="T201" s="4"/>
      <c r="U201" s="4"/>
      <c r="V201" s="4"/>
      <c r="W201" s="4">
        <v>0</v>
      </c>
      <c r="X201" s="4">
        <v>1</v>
      </c>
      <c r="Y201" s="4">
        <v>0</v>
      </c>
      <c r="Z201" s="4"/>
      <c r="AA201" s="4"/>
      <c r="AB201" s="4"/>
    </row>
    <row r="202" spans="1:206" x14ac:dyDescent="0.25">
      <c r="A202" s="4">
        <v>50</v>
      </c>
      <c r="B202" s="4">
        <v>0</v>
      </c>
      <c r="C202" s="4">
        <v>0</v>
      </c>
      <c r="D202" s="4">
        <v>1</v>
      </c>
      <c r="E202" s="4">
        <v>233</v>
      </c>
      <c r="F202" s="4">
        <f>ROUND(Source!BD177,O202)</f>
        <v>260.45999999999998</v>
      </c>
      <c r="G202" s="4" t="s">
        <v>468</v>
      </c>
      <c r="H202" s="4" t="s">
        <v>469</v>
      </c>
      <c r="I202" s="4"/>
      <c r="J202" s="4"/>
      <c r="K202" s="4">
        <v>233</v>
      </c>
      <c r="L202" s="4">
        <v>24</v>
      </c>
      <c r="M202" s="4">
        <v>3</v>
      </c>
      <c r="N202" s="4" t="s">
        <v>332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260.45999999999998</v>
      </c>
      <c r="X202" s="4">
        <v>1</v>
      </c>
      <c r="Y202" s="4">
        <v>260.45999999999998</v>
      </c>
      <c r="Z202" s="4"/>
      <c r="AA202" s="4"/>
      <c r="AB202" s="4"/>
    </row>
    <row r="203" spans="1:206" x14ac:dyDescent="0.25">
      <c r="A203" s="4">
        <v>50</v>
      </c>
      <c r="B203" s="4">
        <v>0</v>
      </c>
      <c r="C203" s="4">
        <v>0</v>
      </c>
      <c r="D203" s="4">
        <v>1</v>
      </c>
      <c r="E203" s="4">
        <v>210</v>
      </c>
      <c r="F203" s="4">
        <f>ROUND(Source!X177,O203)</f>
        <v>65.56</v>
      </c>
      <c r="G203" s="4" t="s">
        <v>470</v>
      </c>
      <c r="H203" s="4" t="s">
        <v>471</v>
      </c>
      <c r="I203" s="4"/>
      <c r="J203" s="4"/>
      <c r="K203" s="4">
        <v>210</v>
      </c>
      <c r="L203" s="4">
        <v>25</v>
      </c>
      <c r="M203" s="4">
        <v>3</v>
      </c>
      <c r="N203" s="4" t="s">
        <v>332</v>
      </c>
      <c r="O203" s="4">
        <v>2</v>
      </c>
      <c r="P203" s="4"/>
      <c r="Q203" s="4"/>
      <c r="R203" s="4"/>
      <c r="S203" s="4"/>
      <c r="T203" s="4"/>
      <c r="U203" s="4"/>
      <c r="V203" s="4"/>
      <c r="W203" s="4">
        <v>65.56</v>
      </c>
      <c r="X203" s="4">
        <v>1</v>
      </c>
      <c r="Y203" s="4">
        <v>65.56</v>
      </c>
      <c r="Z203" s="4"/>
      <c r="AA203" s="4"/>
      <c r="AB203" s="4"/>
    </row>
    <row r="204" spans="1:206" x14ac:dyDescent="0.25">
      <c r="A204" s="4">
        <v>50</v>
      </c>
      <c r="B204" s="4">
        <v>0</v>
      </c>
      <c r="C204" s="4">
        <v>0</v>
      </c>
      <c r="D204" s="4">
        <v>1</v>
      </c>
      <c r="E204" s="4">
        <v>211</v>
      </c>
      <c r="F204" s="4">
        <f>ROUND(Source!Y177,O204)</f>
        <v>31.35</v>
      </c>
      <c r="G204" s="4" t="s">
        <v>472</v>
      </c>
      <c r="H204" s="4" t="s">
        <v>473</v>
      </c>
      <c r="I204" s="4"/>
      <c r="J204" s="4"/>
      <c r="K204" s="4">
        <v>211</v>
      </c>
      <c r="L204" s="4">
        <v>26</v>
      </c>
      <c r="M204" s="4">
        <v>3</v>
      </c>
      <c r="N204" s="4" t="s">
        <v>332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31.35</v>
      </c>
      <c r="X204" s="4">
        <v>1</v>
      </c>
      <c r="Y204" s="4">
        <v>31.35</v>
      </c>
      <c r="Z204" s="4"/>
      <c r="AA204" s="4"/>
      <c r="AB204" s="4"/>
    </row>
    <row r="205" spans="1:206" x14ac:dyDescent="0.25">
      <c r="A205" s="4">
        <v>50</v>
      </c>
      <c r="B205" s="4">
        <v>0</v>
      </c>
      <c r="C205" s="4">
        <v>0</v>
      </c>
      <c r="D205" s="4">
        <v>1</v>
      </c>
      <c r="E205" s="4">
        <v>224</v>
      </c>
      <c r="F205" s="4">
        <f>ROUND(Source!AR177,O205)</f>
        <v>500.94</v>
      </c>
      <c r="G205" s="4" t="s">
        <v>474</v>
      </c>
      <c r="H205" s="4" t="s">
        <v>475</v>
      </c>
      <c r="I205" s="4"/>
      <c r="J205" s="4"/>
      <c r="K205" s="4">
        <v>224</v>
      </c>
      <c r="L205" s="4">
        <v>27</v>
      </c>
      <c r="M205" s="4">
        <v>3</v>
      </c>
      <c r="N205" s="4" t="s">
        <v>332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500.94</v>
      </c>
      <c r="X205" s="4">
        <v>1</v>
      </c>
      <c r="Y205" s="4">
        <v>500.94</v>
      </c>
      <c r="Z205" s="4"/>
      <c r="AA205" s="4"/>
      <c r="AB205" s="4"/>
    </row>
    <row r="207" spans="1:206" x14ac:dyDescent="0.25">
      <c r="A207" s="7">
        <v>51</v>
      </c>
      <c r="B207" s="7">
        <f>B20</f>
        <v>1</v>
      </c>
      <c r="C207" s="7">
        <f>A20</f>
        <v>3</v>
      </c>
      <c r="D207" s="7">
        <f>ROW(A20)</f>
        <v>20</v>
      </c>
      <c r="E207" s="7"/>
      <c r="F207" s="7" t="str">
        <f>IF(F20&lt;&gt;"",F20,"")</f>
        <v/>
      </c>
      <c r="G207" s="7" t="str">
        <f>IF(G20&lt;&gt;"",G20,"")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H207" s="7">
        <v>0</v>
      </c>
      <c r="I207" s="7"/>
      <c r="J207" s="7"/>
      <c r="K207" s="7"/>
      <c r="L207" s="7"/>
      <c r="M207" s="7"/>
      <c r="N207" s="7"/>
      <c r="O207" s="7">
        <f t="shared" ref="O207:T207" si="126">ROUND(O42+O93+O139+O177+AB207,2)</f>
        <v>74299.33</v>
      </c>
      <c r="P207" s="7">
        <f t="shared" si="126"/>
        <v>48161</v>
      </c>
      <c r="Q207" s="7">
        <f t="shared" si="126"/>
        <v>174.26</v>
      </c>
      <c r="R207" s="7">
        <f t="shared" si="126"/>
        <v>146.59</v>
      </c>
      <c r="S207" s="7">
        <f t="shared" si="126"/>
        <v>25817.48</v>
      </c>
      <c r="T207" s="7">
        <f t="shared" si="126"/>
        <v>0</v>
      </c>
      <c r="U207" s="7">
        <f>U42+U93+U139+U177+AH207</f>
        <v>37.318728100000001</v>
      </c>
      <c r="V207" s="7">
        <f>V42+V93+V139+V177+AI207</f>
        <v>0.20461720000000003</v>
      </c>
      <c r="W207" s="7">
        <f>ROUND(W42+W93+W139+W177+AJ207,2)</f>
        <v>0</v>
      </c>
      <c r="X207" s="7">
        <f>ROUND(X42+X93+X139+X177+AK207,2)</f>
        <v>26064.2</v>
      </c>
      <c r="Y207" s="7">
        <f>ROUND(Y42+Y93+Y139+Y177+AL207,2)</f>
        <v>13068.83</v>
      </c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>
        <f t="shared" ref="AO207:BD207" si="127">ROUND(AO42+AO93+AO139+AO177+BX207,2)</f>
        <v>0</v>
      </c>
      <c r="AP207" s="7">
        <f t="shared" si="127"/>
        <v>0</v>
      </c>
      <c r="AQ207" s="7">
        <f t="shared" si="127"/>
        <v>0</v>
      </c>
      <c r="AR207" s="7">
        <f t="shared" si="127"/>
        <v>113692.82</v>
      </c>
      <c r="AS207" s="7">
        <f t="shared" si="127"/>
        <v>113692.82</v>
      </c>
      <c r="AT207" s="7">
        <f t="shared" si="127"/>
        <v>0</v>
      </c>
      <c r="AU207" s="7">
        <f t="shared" si="127"/>
        <v>0</v>
      </c>
      <c r="AV207" s="7">
        <f t="shared" si="127"/>
        <v>48161</v>
      </c>
      <c r="AW207" s="7">
        <f t="shared" si="127"/>
        <v>48161</v>
      </c>
      <c r="AX207" s="7">
        <f t="shared" si="127"/>
        <v>0</v>
      </c>
      <c r="AY207" s="7">
        <f t="shared" si="127"/>
        <v>48161</v>
      </c>
      <c r="AZ207" s="7">
        <f t="shared" si="127"/>
        <v>0</v>
      </c>
      <c r="BA207" s="7">
        <f t="shared" si="127"/>
        <v>0</v>
      </c>
      <c r="BB207" s="7">
        <f t="shared" si="127"/>
        <v>0</v>
      </c>
      <c r="BC207" s="7">
        <f t="shared" si="127"/>
        <v>0</v>
      </c>
      <c r="BD207" s="7">
        <f t="shared" si="127"/>
        <v>260.45999999999998</v>
      </c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>
        <v>0</v>
      </c>
    </row>
    <row r="209" spans="1:28" x14ac:dyDescent="0.25">
      <c r="A209" s="4">
        <v>50</v>
      </c>
      <c r="B209" s="4">
        <v>0</v>
      </c>
      <c r="C209" s="4">
        <v>0</v>
      </c>
      <c r="D209" s="4">
        <v>1</v>
      </c>
      <c r="E209" s="4">
        <v>201</v>
      </c>
      <c r="F209" s="4">
        <f>ROUND(Source!O207,O209)</f>
        <v>74299.33</v>
      </c>
      <c r="G209" s="4" t="s">
        <v>422</v>
      </c>
      <c r="H209" s="4" t="s">
        <v>423</v>
      </c>
      <c r="I209" s="4"/>
      <c r="J209" s="4"/>
      <c r="K209" s="4">
        <v>201</v>
      </c>
      <c r="L209" s="4">
        <v>1</v>
      </c>
      <c r="M209" s="4">
        <v>3</v>
      </c>
      <c r="N209" s="4" t="s">
        <v>332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74559.789999999994</v>
      </c>
      <c r="X209" s="4">
        <v>1</v>
      </c>
      <c r="Y209" s="4">
        <v>74559.789999999994</v>
      </c>
      <c r="Z209" s="4"/>
      <c r="AA209" s="4"/>
      <c r="AB209" s="4"/>
    </row>
    <row r="210" spans="1:28" x14ac:dyDescent="0.25">
      <c r="A210" s="4">
        <v>50</v>
      </c>
      <c r="B210" s="4">
        <v>0</v>
      </c>
      <c r="C210" s="4">
        <v>0</v>
      </c>
      <c r="D210" s="4">
        <v>1</v>
      </c>
      <c r="E210" s="4">
        <v>202</v>
      </c>
      <c r="F210" s="4">
        <f>ROUND(Source!P207,O210)</f>
        <v>48161</v>
      </c>
      <c r="G210" s="4" t="s">
        <v>424</v>
      </c>
      <c r="H210" s="4" t="s">
        <v>425</v>
      </c>
      <c r="I210" s="4"/>
      <c r="J210" s="4"/>
      <c r="K210" s="4">
        <v>202</v>
      </c>
      <c r="L210" s="4">
        <v>2</v>
      </c>
      <c r="M210" s="4">
        <v>3</v>
      </c>
      <c r="N210" s="4" t="s">
        <v>332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48161</v>
      </c>
      <c r="X210" s="4">
        <v>1</v>
      </c>
      <c r="Y210" s="4">
        <v>48161</v>
      </c>
      <c r="Z210" s="4"/>
      <c r="AA210" s="4"/>
      <c r="AB210" s="4"/>
    </row>
    <row r="211" spans="1:28" x14ac:dyDescent="0.25">
      <c r="A211" s="4">
        <v>50</v>
      </c>
      <c r="B211" s="4">
        <v>0</v>
      </c>
      <c r="C211" s="4">
        <v>0</v>
      </c>
      <c r="D211" s="4">
        <v>1</v>
      </c>
      <c r="E211" s="4">
        <v>222</v>
      </c>
      <c r="F211" s="4">
        <f>ROUND(Source!AO207,O211)</f>
        <v>0</v>
      </c>
      <c r="G211" s="4" t="s">
        <v>426</v>
      </c>
      <c r="H211" s="4" t="s">
        <v>427</v>
      </c>
      <c r="I211" s="4"/>
      <c r="J211" s="4"/>
      <c r="K211" s="4">
        <v>222</v>
      </c>
      <c r="L211" s="4">
        <v>3</v>
      </c>
      <c r="M211" s="4">
        <v>3</v>
      </c>
      <c r="N211" s="4" t="s">
        <v>332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0</v>
      </c>
      <c r="X211" s="4">
        <v>1</v>
      </c>
      <c r="Y211" s="4">
        <v>0</v>
      </c>
      <c r="Z211" s="4"/>
      <c r="AA211" s="4"/>
      <c r="AB211" s="4"/>
    </row>
    <row r="212" spans="1:28" x14ac:dyDescent="0.25">
      <c r="A212" s="4">
        <v>50</v>
      </c>
      <c r="B212" s="4">
        <v>0</v>
      </c>
      <c r="C212" s="4">
        <v>0</v>
      </c>
      <c r="D212" s="4">
        <v>1</v>
      </c>
      <c r="E212" s="4">
        <v>225</v>
      </c>
      <c r="F212" s="4">
        <f>ROUND(Source!AV207,O212)</f>
        <v>48161</v>
      </c>
      <c r="G212" s="4" t="s">
        <v>428</v>
      </c>
      <c r="H212" s="4" t="s">
        <v>429</v>
      </c>
      <c r="I212" s="4"/>
      <c r="J212" s="4"/>
      <c r="K212" s="4">
        <v>225</v>
      </c>
      <c r="L212" s="4">
        <v>4</v>
      </c>
      <c r="M212" s="4">
        <v>3</v>
      </c>
      <c r="N212" s="4" t="s">
        <v>332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48161</v>
      </c>
      <c r="X212" s="4">
        <v>1</v>
      </c>
      <c r="Y212" s="4">
        <v>48161</v>
      </c>
      <c r="Z212" s="4"/>
      <c r="AA212" s="4"/>
      <c r="AB212" s="4"/>
    </row>
    <row r="213" spans="1:28" x14ac:dyDescent="0.25">
      <c r="A213" s="4">
        <v>50</v>
      </c>
      <c r="B213" s="4">
        <v>0</v>
      </c>
      <c r="C213" s="4">
        <v>0</v>
      </c>
      <c r="D213" s="4">
        <v>1</v>
      </c>
      <c r="E213" s="4">
        <v>226</v>
      </c>
      <c r="F213" s="4">
        <f>ROUND(Source!AW207,O213)</f>
        <v>48161</v>
      </c>
      <c r="G213" s="4" t="s">
        <v>430</v>
      </c>
      <c r="H213" s="4" t="s">
        <v>431</v>
      </c>
      <c r="I213" s="4"/>
      <c r="J213" s="4"/>
      <c r="K213" s="4">
        <v>226</v>
      </c>
      <c r="L213" s="4">
        <v>5</v>
      </c>
      <c r="M213" s="4">
        <v>3</v>
      </c>
      <c r="N213" s="4" t="s">
        <v>332</v>
      </c>
      <c r="O213" s="4">
        <v>2</v>
      </c>
      <c r="P213" s="4"/>
      <c r="Q213" s="4"/>
      <c r="R213" s="4"/>
      <c r="S213" s="4"/>
      <c r="T213" s="4"/>
      <c r="U213" s="4"/>
      <c r="V213" s="4"/>
      <c r="W213" s="4">
        <v>48161</v>
      </c>
      <c r="X213" s="4">
        <v>1</v>
      </c>
      <c r="Y213" s="4">
        <v>48161</v>
      </c>
      <c r="Z213" s="4"/>
      <c r="AA213" s="4"/>
      <c r="AB213" s="4"/>
    </row>
    <row r="214" spans="1:28" x14ac:dyDescent="0.25">
      <c r="A214" s="4">
        <v>50</v>
      </c>
      <c r="B214" s="4">
        <v>0</v>
      </c>
      <c r="C214" s="4">
        <v>0</v>
      </c>
      <c r="D214" s="4">
        <v>1</v>
      </c>
      <c r="E214" s="4">
        <v>227</v>
      </c>
      <c r="F214" s="4">
        <f>ROUND(Source!AX207,O214)</f>
        <v>0</v>
      </c>
      <c r="G214" s="4" t="s">
        <v>432</v>
      </c>
      <c r="H214" s="4" t="s">
        <v>433</v>
      </c>
      <c r="I214" s="4"/>
      <c r="J214" s="4"/>
      <c r="K214" s="4">
        <v>227</v>
      </c>
      <c r="L214" s="4">
        <v>6</v>
      </c>
      <c r="M214" s="4">
        <v>3</v>
      </c>
      <c r="N214" s="4" t="s">
        <v>332</v>
      </c>
      <c r="O214" s="4">
        <v>2</v>
      </c>
      <c r="P214" s="4"/>
      <c r="Q214" s="4"/>
      <c r="R214" s="4"/>
      <c r="S214" s="4"/>
      <c r="T214" s="4"/>
      <c r="U214" s="4"/>
      <c r="V214" s="4"/>
      <c r="W214" s="4">
        <v>0</v>
      </c>
      <c r="X214" s="4">
        <v>1</v>
      </c>
      <c r="Y214" s="4">
        <v>0</v>
      </c>
      <c r="Z214" s="4"/>
      <c r="AA214" s="4"/>
      <c r="AB214" s="4"/>
    </row>
    <row r="215" spans="1:28" x14ac:dyDescent="0.25">
      <c r="A215" s="4">
        <v>50</v>
      </c>
      <c r="B215" s="4">
        <v>0</v>
      </c>
      <c r="C215" s="4">
        <v>0</v>
      </c>
      <c r="D215" s="4">
        <v>1</v>
      </c>
      <c r="E215" s="4">
        <v>228</v>
      </c>
      <c r="F215" s="4">
        <f>ROUND(Source!AY207,O215)</f>
        <v>48161</v>
      </c>
      <c r="G215" s="4" t="s">
        <v>434</v>
      </c>
      <c r="H215" s="4" t="s">
        <v>435</v>
      </c>
      <c r="I215" s="4"/>
      <c r="J215" s="4"/>
      <c r="K215" s="4">
        <v>228</v>
      </c>
      <c r="L215" s="4">
        <v>7</v>
      </c>
      <c r="M215" s="4">
        <v>3</v>
      </c>
      <c r="N215" s="4" t="s">
        <v>332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48161</v>
      </c>
      <c r="X215" s="4">
        <v>1</v>
      </c>
      <c r="Y215" s="4">
        <v>48161</v>
      </c>
      <c r="Z215" s="4"/>
      <c r="AA215" s="4"/>
      <c r="AB215" s="4"/>
    </row>
    <row r="216" spans="1:28" x14ac:dyDescent="0.25">
      <c r="A216" s="4">
        <v>50</v>
      </c>
      <c r="B216" s="4">
        <v>0</v>
      </c>
      <c r="C216" s="4">
        <v>0</v>
      </c>
      <c r="D216" s="4">
        <v>1</v>
      </c>
      <c r="E216" s="4">
        <v>216</v>
      </c>
      <c r="F216" s="4">
        <f>ROUND(Source!AP207,O216)</f>
        <v>0</v>
      </c>
      <c r="G216" s="4" t="s">
        <v>436</v>
      </c>
      <c r="H216" s="4" t="s">
        <v>437</v>
      </c>
      <c r="I216" s="4"/>
      <c r="J216" s="4"/>
      <c r="K216" s="4">
        <v>216</v>
      </c>
      <c r="L216" s="4">
        <v>8</v>
      </c>
      <c r="M216" s="4">
        <v>3</v>
      </c>
      <c r="N216" s="4" t="s">
        <v>332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8" x14ac:dyDescent="0.25">
      <c r="A217" s="4">
        <v>50</v>
      </c>
      <c r="B217" s="4">
        <v>0</v>
      </c>
      <c r="C217" s="4">
        <v>0</v>
      </c>
      <c r="D217" s="4">
        <v>1</v>
      </c>
      <c r="E217" s="4">
        <v>223</v>
      </c>
      <c r="F217" s="4">
        <f>ROUND(Source!AQ207,O217)</f>
        <v>0</v>
      </c>
      <c r="G217" s="4" t="s">
        <v>438</v>
      </c>
      <c r="H217" s="4" t="s">
        <v>439</v>
      </c>
      <c r="I217" s="4"/>
      <c r="J217" s="4"/>
      <c r="K217" s="4">
        <v>223</v>
      </c>
      <c r="L217" s="4">
        <v>9</v>
      </c>
      <c r="M217" s="4">
        <v>3</v>
      </c>
      <c r="N217" s="4" t="s">
        <v>332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0</v>
      </c>
      <c r="X217" s="4">
        <v>1</v>
      </c>
      <c r="Y217" s="4">
        <v>0</v>
      </c>
      <c r="Z217" s="4"/>
      <c r="AA217" s="4"/>
      <c r="AB217" s="4"/>
    </row>
    <row r="218" spans="1:28" x14ac:dyDescent="0.25">
      <c r="A218" s="4">
        <v>50</v>
      </c>
      <c r="B218" s="4">
        <v>0</v>
      </c>
      <c r="C218" s="4">
        <v>0</v>
      </c>
      <c r="D218" s="4">
        <v>1</v>
      </c>
      <c r="E218" s="4">
        <v>229</v>
      </c>
      <c r="F218" s="4">
        <f>ROUND(Source!AZ207,O218)</f>
        <v>0</v>
      </c>
      <c r="G218" s="4" t="s">
        <v>440</v>
      </c>
      <c r="H218" s="4" t="s">
        <v>441</v>
      </c>
      <c r="I218" s="4"/>
      <c r="J218" s="4"/>
      <c r="K218" s="4">
        <v>229</v>
      </c>
      <c r="L218" s="4">
        <v>10</v>
      </c>
      <c r="M218" s="4">
        <v>3</v>
      </c>
      <c r="N218" s="4" t="s">
        <v>332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0</v>
      </c>
      <c r="X218" s="4">
        <v>1</v>
      </c>
      <c r="Y218" s="4">
        <v>0</v>
      </c>
      <c r="Z218" s="4"/>
      <c r="AA218" s="4"/>
      <c r="AB218" s="4"/>
    </row>
    <row r="219" spans="1:28" x14ac:dyDescent="0.25">
      <c r="A219" s="4">
        <v>50</v>
      </c>
      <c r="B219" s="4">
        <v>0</v>
      </c>
      <c r="C219" s="4">
        <v>0</v>
      </c>
      <c r="D219" s="4">
        <v>1</v>
      </c>
      <c r="E219" s="4">
        <v>203</v>
      </c>
      <c r="F219" s="4">
        <f>ROUND(Source!Q207,O219)</f>
        <v>174.26</v>
      </c>
      <c r="G219" s="4" t="s">
        <v>442</v>
      </c>
      <c r="H219" s="4" t="s">
        <v>443</v>
      </c>
      <c r="I219" s="4"/>
      <c r="J219" s="4"/>
      <c r="K219" s="4">
        <v>203</v>
      </c>
      <c r="L219" s="4">
        <v>11</v>
      </c>
      <c r="M219" s="4">
        <v>3</v>
      </c>
      <c r="N219" s="4" t="s">
        <v>332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174.26</v>
      </c>
      <c r="X219" s="4">
        <v>1</v>
      </c>
      <c r="Y219" s="4">
        <v>174.26</v>
      </c>
      <c r="Z219" s="4"/>
      <c r="AA219" s="4"/>
      <c r="AB219" s="4"/>
    </row>
    <row r="220" spans="1:28" x14ac:dyDescent="0.25">
      <c r="A220" s="4">
        <v>50</v>
      </c>
      <c r="B220" s="4">
        <v>0</v>
      </c>
      <c r="C220" s="4">
        <v>0</v>
      </c>
      <c r="D220" s="4">
        <v>1</v>
      </c>
      <c r="E220" s="4">
        <v>231</v>
      </c>
      <c r="F220" s="4">
        <f>ROUND(Source!BB207,O220)</f>
        <v>0</v>
      </c>
      <c r="G220" s="4" t="s">
        <v>444</v>
      </c>
      <c r="H220" s="4" t="s">
        <v>445</v>
      </c>
      <c r="I220" s="4"/>
      <c r="J220" s="4"/>
      <c r="K220" s="4">
        <v>231</v>
      </c>
      <c r="L220" s="4">
        <v>12</v>
      </c>
      <c r="M220" s="4">
        <v>3</v>
      </c>
      <c r="N220" s="4" t="s">
        <v>332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0</v>
      </c>
      <c r="X220" s="4">
        <v>1</v>
      </c>
      <c r="Y220" s="4">
        <v>0</v>
      </c>
      <c r="Z220" s="4"/>
      <c r="AA220" s="4"/>
      <c r="AB220" s="4"/>
    </row>
    <row r="221" spans="1:28" x14ac:dyDescent="0.25">
      <c r="A221" s="4">
        <v>50</v>
      </c>
      <c r="B221" s="4">
        <v>0</v>
      </c>
      <c r="C221" s="4">
        <v>0</v>
      </c>
      <c r="D221" s="4">
        <v>1</v>
      </c>
      <c r="E221" s="4">
        <v>204</v>
      </c>
      <c r="F221" s="4">
        <f>ROUND(Source!R207,O221)</f>
        <v>146.59</v>
      </c>
      <c r="G221" s="4" t="s">
        <v>446</v>
      </c>
      <c r="H221" s="4" t="s">
        <v>447</v>
      </c>
      <c r="I221" s="4"/>
      <c r="J221" s="4"/>
      <c r="K221" s="4">
        <v>204</v>
      </c>
      <c r="L221" s="4">
        <v>13</v>
      </c>
      <c r="M221" s="4">
        <v>3</v>
      </c>
      <c r="N221" s="4" t="s">
        <v>332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146.59</v>
      </c>
      <c r="X221" s="4">
        <v>1</v>
      </c>
      <c r="Y221" s="4">
        <v>146.59</v>
      </c>
      <c r="Z221" s="4"/>
      <c r="AA221" s="4"/>
      <c r="AB221" s="4"/>
    </row>
    <row r="222" spans="1:28" x14ac:dyDescent="0.25">
      <c r="A222" s="4">
        <v>50</v>
      </c>
      <c r="B222" s="4">
        <v>0</v>
      </c>
      <c r="C222" s="4">
        <v>0</v>
      </c>
      <c r="D222" s="4">
        <v>1</v>
      </c>
      <c r="E222" s="4">
        <v>205</v>
      </c>
      <c r="F222" s="4">
        <f>ROUND(Source!S207,O222)</f>
        <v>25817.48</v>
      </c>
      <c r="G222" s="4" t="s">
        <v>448</v>
      </c>
      <c r="H222" s="4" t="s">
        <v>449</v>
      </c>
      <c r="I222" s="4"/>
      <c r="J222" s="4"/>
      <c r="K222" s="4">
        <v>205</v>
      </c>
      <c r="L222" s="4">
        <v>14</v>
      </c>
      <c r="M222" s="4">
        <v>3</v>
      </c>
      <c r="N222" s="4" t="s">
        <v>332</v>
      </c>
      <c r="O222" s="4">
        <v>2</v>
      </c>
      <c r="P222" s="4"/>
      <c r="Q222" s="4"/>
      <c r="R222" s="4"/>
      <c r="S222" s="4"/>
      <c r="T222" s="4"/>
      <c r="U222" s="4"/>
      <c r="V222" s="4"/>
      <c r="W222" s="4">
        <v>25817.48</v>
      </c>
      <c r="X222" s="4">
        <v>1</v>
      </c>
      <c r="Y222" s="4">
        <v>25817.48</v>
      </c>
      <c r="Z222" s="4"/>
      <c r="AA222" s="4"/>
      <c r="AB222" s="4"/>
    </row>
    <row r="223" spans="1:28" x14ac:dyDescent="0.25">
      <c r="A223" s="4">
        <v>50</v>
      </c>
      <c r="B223" s="4">
        <v>0</v>
      </c>
      <c r="C223" s="4">
        <v>0</v>
      </c>
      <c r="D223" s="4">
        <v>1</v>
      </c>
      <c r="E223" s="4">
        <v>232</v>
      </c>
      <c r="F223" s="4">
        <f>ROUND(Source!BC207,O223)</f>
        <v>0</v>
      </c>
      <c r="G223" s="4" t="s">
        <v>450</v>
      </c>
      <c r="H223" s="4" t="s">
        <v>451</v>
      </c>
      <c r="I223" s="4"/>
      <c r="J223" s="4"/>
      <c r="K223" s="4">
        <v>232</v>
      </c>
      <c r="L223" s="4">
        <v>15</v>
      </c>
      <c r="M223" s="4">
        <v>3</v>
      </c>
      <c r="N223" s="4" t="s">
        <v>332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0</v>
      </c>
      <c r="X223" s="4">
        <v>1</v>
      </c>
      <c r="Y223" s="4">
        <v>0</v>
      </c>
      <c r="Z223" s="4"/>
      <c r="AA223" s="4"/>
      <c r="AB223" s="4"/>
    </row>
    <row r="224" spans="1:28" x14ac:dyDescent="0.25">
      <c r="A224" s="4">
        <v>50</v>
      </c>
      <c r="B224" s="4">
        <v>0</v>
      </c>
      <c r="C224" s="4">
        <v>0</v>
      </c>
      <c r="D224" s="4">
        <v>1</v>
      </c>
      <c r="E224" s="4">
        <v>214</v>
      </c>
      <c r="F224" s="4">
        <f>ROUND(Source!AS207,O224)</f>
        <v>113692.82</v>
      </c>
      <c r="G224" s="4" t="s">
        <v>452</v>
      </c>
      <c r="H224" s="4" t="s">
        <v>453</v>
      </c>
      <c r="I224" s="4"/>
      <c r="J224" s="4"/>
      <c r="K224" s="4">
        <v>214</v>
      </c>
      <c r="L224" s="4">
        <v>16</v>
      </c>
      <c r="M224" s="4">
        <v>3</v>
      </c>
      <c r="N224" s="4" t="s">
        <v>332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113692.82</v>
      </c>
      <c r="X224" s="4">
        <v>1</v>
      </c>
      <c r="Y224" s="4">
        <v>113692.82</v>
      </c>
      <c r="Z224" s="4"/>
      <c r="AA224" s="4"/>
      <c r="AB224" s="4"/>
    </row>
    <row r="225" spans="1:206" x14ac:dyDescent="0.25">
      <c r="A225" s="4">
        <v>50</v>
      </c>
      <c r="B225" s="4">
        <v>0</v>
      </c>
      <c r="C225" s="4">
        <v>0</v>
      </c>
      <c r="D225" s="4">
        <v>1</v>
      </c>
      <c r="E225" s="4">
        <v>215</v>
      </c>
      <c r="F225" s="4">
        <f>ROUND(Source!AT207,O225)</f>
        <v>0</v>
      </c>
      <c r="G225" s="4" t="s">
        <v>454</v>
      </c>
      <c r="H225" s="4" t="s">
        <v>455</v>
      </c>
      <c r="I225" s="4"/>
      <c r="J225" s="4"/>
      <c r="K225" s="4">
        <v>215</v>
      </c>
      <c r="L225" s="4">
        <v>17</v>
      </c>
      <c r="M225" s="4">
        <v>3</v>
      </c>
      <c r="N225" s="4" t="s">
        <v>332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0</v>
      </c>
      <c r="X225" s="4">
        <v>1</v>
      </c>
      <c r="Y225" s="4">
        <v>0</v>
      </c>
      <c r="Z225" s="4"/>
      <c r="AA225" s="4"/>
      <c r="AB225" s="4"/>
    </row>
    <row r="226" spans="1:206" x14ac:dyDescent="0.25">
      <c r="A226" s="4">
        <v>50</v>
      </c>
      <c r="B226" s="4">
        <v>0</v>
      </c>
      <c r="C226" s="4">
        <v>0</v>
      </c>
      <c r="D226" s="4">
        <v>1</v>
      </c>
      <c r="E226" s="4">
        <v>217</v>
      </c>
      <c r="F226" s="4">
        <f>ROUND(Source!AU207,O226)</f>
        <v>0</v>
      </c>
      <c r="G226" s="4" t="s">
        <v>456</v>
      </c>
      <c r="H226" s="4" t="s">
        <v>457</v>
      </c>
      <c r="I226" s="4"/>
      <c r="J226" s="4"/>
      <c r="K226" s="4">
        <v>217</v>
      </c>
      <c r="L226" s="4">
        <v>18</v>
      </c>
      <c r="M226" s="4">
        <v>3</v>
      </c>
      <c r="N226" s="4" t="s">
        <v>332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0</v>
      </c>
      <c r="X226" s="4">
        <v>1</v>
      </c>
      <c r="Y226" s="4">
        <v>0</v>
      </c>
      <c r="Z226" s="4"/>
      <c r="AA226" s="4"/>
      <c r="AB226" s="4"/>
    </row>
    <row r="227" spans="1:206" x14ac:dyDescent="0.25">
      <c r="A227" s="4">
        <v>50</v>
      </c>
      <c r="B227" s="4">
        <v>0</v>
      </c>
      <c r="C227" s="4">
        <v>0</v>
      </c>
      <c r="D227" s="4">
        <v>1</v>
      </c>
      <c r="E227" s="4">
        <v>230</v>
      </c>
      <c r="F227" s="4">
        <f>ROUND(Source!BA207,O227)</f>
        <v>0</v>
      </c>
      <c r="G227" s="4" t="s">
        <v>458</v>
      </c>
      <c r="H227" s="4" t="s">
        <v>459</v>
      </c>
      <c r="I227" s="4"/>
      <c r="J227" s="4"/>
      <c r="K227" s="4">
        <v>230</v>
      </c>
      <c r="L227" s="4">
        <v>19</v>
      </c>
      <c r="M227" s="4">
        <v>3</v>
      </c>
      <c r="N227" s="4" t="s">
        <v>332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0</v>
      </c>
      <c r="X227" s="4">
        <v>1</v>
      </c>
      <c r="Y227" s="4">
        <v>0</v>
      </c>
      <c r="Z227" s="4"/>
      <c r="AA227" s="4"/>
      <c r="AB227" s="4"/>
    </row>
    <row r="228" spans="1:206" x14ac:dyDescent="0.25">
      <c r="A228" s="4">
        <v>50</v>
      </c>
      <c r="B228" s="4">
        <v>0</v>
      </c>
      <c r="C228" s="4">
        <v>0</v>
      </c>
      <c r="D228" s="4">
        <v>1</v>
      </c>
      <c r="E228" s="4">
        <v>206</v>
      </c>
      <c r="F228" s="4">
        <f>ROUND(Source!T207,O228)</f>
        <v>0</v>
      </c>
      <c r="G228" s="4" t="s">
        <v>460</v>
      </c>
      <c r="H228" s="4" t="s">
        <v>461</v>
      </c>
      <c r="I228" s="4"/>
      <c r="J228" s="4"/>
      <c r="K228" s="4">
        <v>206</v>
      </c>
      <c r="L228" s="4">
        <v>20</v>
      </c>
      <c r="M228" s="4">
        <v>3</v>
      </c>
      <c r="N228" s="4" t="s">
        <v>332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0</v>
      </c>
      <c r="X228" s="4">
        <v>1</v>
      </c>
      <c r="Y228" s="4">
        <v>0</v>
      </c>
      <c r="Z228" s="4"/>
      <c r="AA228" s="4"/>
      <c r="AB228" s="4"/>
    </row>
    <row r="229" spans="1:206" x14ac:dyDescent="0.25">
      <c r="A229" s="4">
        <v>50</v>
      </c>
      <c r="B229" s="4">
        <v>0</v>
      </c>
      <c r="C229" s="4">
        <v>0</v>
      </c>
      <c r="D229" s="4">
        <v>1</v>
      </c>
      <c r="E229" s="4">
        <v>207</v>
      </c>
      <c r="F229" s="4">
        <f>ROUND(Source!U207,O229)</f>
        <v>37.318728100000001</v>
      </c>
      <c r="G229" s="4" t="s">
        <v>462</v>
      </c>
      <c r="H229" s="4" t="s">
        <v>463</v>
      </c>
      <c r="I229" s="4"/>
      <c r="J229" s="4"/>
      <c r="K229" s="4">
        <v>207</v>
      </c>
      <c r="L229" s="4">
        <v>21</v>
      </c>
      <c r="M229" s="4">
        <v>3</v>
      </c>
      <c r="N229" s="4" t="s">
        <v>332</v>
      </c>
      <c r="O229" s="4">
        <v>7</v>
      </c>
      <c r="P229" s="4"/>
      <c r="Q229" s="4"/>
      <c r="R229" s="4"/>
      <c r="S229" s="4"/>
      <c r="T229" s="4"/>
      <c r="U229" s="4"/>
      <c r="V229" s="4"/>
      <c r="W229" s="4">
        <v>37.318728100000001</v>
      </c>
      <c r="X229" s="4">
        <v>1</v>
      </c>
      <c r="Y229" s="4">
        <v>37.318728100000001</v>
      </c>
      <c r="Z229" s="4"/>
      <c r="AA229" s="4"/>
      <c r="AB229" s="4"/>
    </row>
    <row r="230" spans="1:206" x14ac:dyDescent="0.25">
      <c r="A230" s="4">
        <v>50</v>
      </c>
      <c r="B230" s="4">
        <v>0</v>
      </c>
      <c r="C230" s="4">
        <v>0</v>
      </c>
      <c r="D230" s="4">
        <v>1</v>
      </c>
      <c r="E230" s="4">
        <v>208</v>
      </c>
      <c r="F230" s="4">
        <f>ROUND(Source!V207,O230)</f>
        <v>0.2046172</v>
      </c>
      <c r="G230" s="4" t="s">
        <v>464</v>
      </c>
      <c r="H230" s="4" t="s">
        <v>465</v>
      </c>
      <c r="I230" s="4"/>
      <c r="J230" s="4"/>
      <c r="K230" s="4">
        <v>208</v>
      </c>
      <c r="L230" s="4">
        <v>22</v>
      </c>
      <c r="M230" s="4">
        <v>3</v>
      </c>
      <c r="N230" s="4" t="s">
        <v>332</v>
      </c>
      <c r="O230" s="4">
        <v>7</v>
      </c>
      <c r="P230" s="4"/>
      <c r="Q230" s="4"/>
      <c r="R230" s="4"/>
      <c r="S230" s="4"/>
      <c r="T230" s="4"/>
      <c r="U230" s="4"/>
      <c r="V230" s="4"/>
      <c r="W230" s="4">
        <v>0.2046172</v>
      </c>
      <c r="X230" s="4">
        <v>1</v>
      </c>
      <c r="Y230" s="4">
        <v>0.2046172</v>
      </c>
      <c r="Z230" s="4"/>
      <c r="AA230" s="4"/>
      <c r="AB230" s="4"/>
    </row>
    <row r="231" spans="1:206" x14ac:dyDescent="0.25">
      <c r="A231" s="4">
        <v>50</v>
      </c>
      <c r="B231" s="4">
        <v>0</v>
      </c>
      <c r="C231" s="4">
        <v>0</v>
      </c>
      <c r="D231" s="4">
        <v>1</v>
      </c>
      <c r="E231" s="4">
        <v>209</v>
      </c>
      <c r="F231" s="4">
        <f>ROUND(Source!W207,O231)</f>
        <v>0</v>
      </c>
      <c r="G231" s="4" t="s">
        <v>466</v>
      </c>
      <c r="H231" s="4" t="s">
        <v>467</v>
      </c>
      <c r="I231" s="4"/>
      <c r="J231" s="4"/>
      <c r="K231" s="4">
        <v>209</v>
      </c>
      <c r="L231" s="4">
        <v>23</v>
      </c>
      <c r="M231" s="4">
        <v>3</v>
      </c>
      <c r="N231" s="4" t="s">
        <v>332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0</v>
      </c>
      <c r="X231" s="4">
        <v>1</v>
      </c>
      <c r="Y231" s="4">
        <v>0</v>
      </c>
      <c r="Z231" s="4"/>
      <c r="AA231" s="4"/>
      <c r="AB231" s="4"/>
    </row>
    <row r="232" spans="1:206" x14ac:dyDescent="0.25">
      <c r="A232" s="4">
        <v>50</v>
      </c>
      <c r="B232" s="4">
        <v>0</v>
      </c>
      <c r="C232" s="4">
        <v>0</v>
      </c>
      <c r="D232" s="4">
        <v>1</v>
      </c>
      <c r="E232" s="4">
        <v>233</v>
      </c>
      <c r="F232" s="4">
        <f>ROUND(Source!BD207,O232)</f>
        <v>260.45999999999998</v>
      </c>
      <c r="G232" s="4" t="s">
        <v>468</v>
      </c>
      <c r="H232" s="4" t="s">
        <v>469</v>
      </c>
      <c r="I232" s="4"/>
      <c r="J232" s="4"/>
      <c r="K232" s="4">
        <v>233</v>
      </c>
      <c r="L232" s="4">
        <v>24</v>
      </c>
      <c r="M232" s="4">
        <v>3</v>
      </c>
      <c r="N232" s="4" t="s">
        <v>332</v>
      </c>
      <c r="O232" s="4">
        <v>2</v>
      </c>
      <c r="P232" s="4"/>
      <c r="Q232" s="4"/>
      <c r="R232" s="4"/>
      <c r="S232" s="4"/>
      <c r="T232" s="4"/>
      <c r="U232" s="4"/>
      <c r="V232" s="4"/>
      <c r="W232" s="4">
        <v>260.45999999999998</v>
      </c>
      <c r="X232" s="4">
        <v>1</v>
      </c>
      <c r="Y232" s="4">
        <v>260.45999999999998</v>
      </c>
      <c r="Z232" s="4"/>
      <c r="AA232" s="4"/>
      <c r="AB232" s="4"/>
    </row>
    <row r="233" spans="1:206" x14ac:dyDescent="0.25">
      <c r="A233" s="4">
        <v>50</v>
      </c>
      <c r="B233" s="4">
        <v>0</v>
      </c>
      <c r="C233" s="4">
        <v>0</v>
      </c>
      <c r="D233" s="4">
        <v>1</v>
      </c>
      <c r="E233" s="4">
        <v>210</v>
      </c>
      <c r="F233" s="4">
        <f>ROUND(Source!X207,O233)</f>
        <v>26064.2</v>
      </c>
      <c r="G233" s="4" t="s">
        <v>470</v>
      </c>
      <c r="H233" s="4" t="s">
        <v>471</v>
      </c>
      <c r="I233" s="4"/>
      <c r="J233" s="4"/>
      <c r="K233" s="4">
        <v>210</v>
      </c>
      <c r="L233" s="4">
        <v>25</v>
      </c>
      <c r="M233" s="4">
        <v>3</v>
      </c>
      <c r="N233" s="4" t="s">
        <v>332</v>
      </c>
      <c r="O233" s="4">
        <v>2</v>
      </c>
      <c r="P233" s="4"/>
      <c r="Q233" s="4"/>
      <c r="R233" s="4"/>
      <c r="S233" s="4"/>
      <c r="T233" s="4"/>
      <c r="U233" s="4"/>
      <c r="V233" s="4"/>
      <c r="W233" s="4">
        <v>26064.2</v>
      </c>
      <c r="X233" s="4">
        <v>1</v>
      </c>
      <c r="Y233" s="4">
        <v>26064.2</v>
      </c>
      <c r="Z233" s="4"/>
      <c r="AA233" s="4"/>
      <c r="AB233" s="4"/>
    </row>
    <row r="234" spans="1:206" x14ac:dyDescent="0.25">
      <c r="A234" s="4">
        <v>50</v>
      </c>
      <c r="B234" s="4">
        <v>0</v>
      </c>
      <c r="C234" s="4">
        <v>0</v>
      </c>
      <c r="D234" s="4">
        <v>1</v>
      </c>
      <c r="E234" s="4">
        <v>211</v>
      </c>
      <c r="F234" s="4">
        <f>ROUND(Source!Y207,O234)</f>
        <v>13068.83</v>
      </c>
      <c r="G234" s="4" t="s">
        <v>472</v>
      </c>
      <c r="H234" s="4" t="s">
        <v>473</v>
      </c>
      <c r="I234" s="4"/>
      <c r="J234" s="4"/>
      <c r="K234" s="4">
        <v>211</v>
      </c>
      <c r="L234" s="4">
        <v>26</v>
      </c>
      <c r="M234" s="4">
        <v>3</v>
      </c>
      <c r="N234" s="4" t="s">
        <v>332</v>
      </c>
      <c r="O234" s="4">
        <v>2</v>
      </c>
      <c r="P234" s="4"/>
      <c r="Q234" s="4"/>
      <c r="R234" s="4"/>
      <c r="S234" s="4"/>
      <c r="T234" s="4"/>
      <c r="U234" s="4"/>
      <c r="V234" s="4"/>
      <c r="W234" s="4">
        <v>13068.83</v>
      </c>
      <c r="X234" s="4">
        <v>1</v>
      </c>
      <c r="Y234" s="4">
        <v>13068.83</v>
      </c>
      <c r="Z234" s="4"/>
      <c r="AA234" s="4"/>
      <c r="AB234" s="4"/>
    </row>
    <row r="235" spans="1:206" x14ac:dyDescent="0.25">
      <c r="A235" s="4">
        <v>50</v>
      </c>
      <c r="B235" s="4">
        <v>0</v>
      </c>
      <c r="C235" s="4">
        <v>0</v>
      </c>
      <c r="D235" s="4">
        <v>1</v>
      </c>
      <c r="E235" s="4">
        <v>224</v>
      </c>
      <c r="F235" s="4">
        <f>ROUND(Source!AR207,O235)</f>
        <v>113692.82</v>
      </c>
      <c r="G235" s="4" t="s">
        <v>474</v>
      </c>
      <c r="H235" s="4" t="s">
        <v>475</v>
      </c>
      <c r="I235" s="4"/>
      <c r="J235" s="4"/>
      <c r="K235" s="4">
        <v>224</v>
      </c>
      <c r="L235" s="4">
        <v>27</v>
      </c>
      <c r="M235" s="4">
        <v>3</v>
      </c>
      <c r="N235" s="4" t="s">
        <v>332</v>
      </c>
      <c r="O235" s="4">
        <v>2</v>
      </c>
      <c r="P235" s="4"/>
      <c r="Q235" s="4"/>
      <c r="R235" s="4"/>
      <c r="S235" s="4"/>
      <c r="T235" s="4"/>
      <c r="U235" s="4"/>
      <c r="V235" s="4"/>
      <c r="W235" s="4">
        <v>113692.82</v>
      </c>
      <c r="X235" s="4">
        <v>1</v>
      </c>
      <c r="Y235" s="4">
        <v>113692.82</v>
      </c>
      <c r="Z235" s="4"/>
      <c r="AA235" s="4"/>
      <c r="AB235" s="4"/>
    </row>
    <row r="237" spans="1:206" x14ac:dyDescent="0.25">
      <c r="A237" s="7">
        <v>51</v>
      </c>
      <c r="B237" s="7">
        <f>B12</f>
        <v>297</v>
      </c>
      <c r="C237" s="7">
        <f>A12</f>
        <v>1</v>
      </c>
      <c r="D237" s="7">
        <f>ROW(A12)</f>
        <v>12</v>
      </c>
      <c r="E237" s="7"/>
      <c r="F237" s="7" t="str">
        <f>IF(F12&lt;&gt;"",F12,"")</f>
        <v/>
      </c>
      <c r="G237" s="7" t="str">
        <f>IF(G12&lt;&gt;"",G12,"")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H237" s="7">
        <v>0</v>
      </c>
      <c r="I237" s="7"/>
      <c r="J237" s="7"/>
      <c r="K237" s="7"/>
      <c r="L237" s="7"/>
      <c r="M237" s="7"/>
      <c r="N237" s="7"/>
      <c r="O237" s="7">
        <f t="shared" ref="O237:T237" si="128">ROUND(O207,2)</f>
        <v>74299.33</v>
      </c>
      <c r="P237" s="7">
        <f t="shared" si="128"/>
        <v>48161</v>
      </c>
      <c r="Q237" s="7">
        <f t="shared" si="128"/>
        <v>174.26</v>
      </c>
      <c r="R237" s="7">
        <f t="shared" si="128"/>
        <v>146.59</v>
      </c>
      <c r="S237" s="7">
        <f t="shared" si="128"/>
        <v>25817.48</v>
      </c>
      <c r="T237" s="7">
        <f t="shared" si="128"/>
        <v>0</v>
      </c>
      <c r="U237" s="7">
        <f>U207</f>
        <v>37.318728100000001</v>
      </c>
      <c r="V237" s="7">
        <f>V207</f>
        <v>0.20461720000000003</v>
      </c>
      <c r="W237" s="7">
        <f>ROUND(W207,2)</f>
        <v>0</v>
      </c>
      <c r="X237" s="7">
        <f>ROUND(X207,2)</f>
        <v>26064.2</v>
      </c>
      <c r="Y237" s="7">
        <f>ROUND(Y207,2)</f>
        <v>13068.83</v>
      </c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>
        <f t="shared" ref="AO237:BD237" si="129">ROUND(AO207,2)</f>
        <v>0</v>
      </c>
      <c r="AP237" s="7">
        <f t="shared" si="129"/>
        <v>0</v>
      </c>
      <c r="AQ237" s="7">
        <f t="shared" si="129"/>
        <v>0</v>
      </c>
      <c r="AR237" s="7">
        <f t="shared" si="129"/>
        <v>113692.82</v>
      </c>
      <c r="AS237" s="7">
        <f t="shared" si="129"/>
        <v>113692.82</v>
      </c>
      <c r="AT237" s="7">
        <f t="shared" si="129"/>
        <v>0</v>
      </c>
      <c r="AU237" s="7">
        <f t="shared" si="129"/>
        <v>0</v>
      </c>
      <c r="AV237" s="7">
        <f t="shared" si="129"/>
        <v>48161</v>
      </c>
      <c r="AW237" s="7">
        <f t="shared" si="129"/>
        <v>48161</v>
      </c>
      <c r="AX237" s="7">
        <f t="shared" si="129"/>
        <v>0</v>
      </c>
      <c r="AY237" s="7">
        <f t="shared" si="129"/>
        <v>48161</v>
      </c>
      <c r="AZ237" s="7">
        <f t="shared" si="129"/>
        <v>0</v>
      </c>
      <c r="BA237" s="7">
        <f t="shared" si="129"/>
        <v>0</v>
      </c>
      <c r="BB237" s="7">
        <f t="shared" si="129"/>
        <v>0</v>
      </c>
      <c r="BC237" s="7">
        <f t="shared" si="129"/>
        <v>0</v>
      </c>
      <c r="BD237" s="7">
        <f t="shared" si="129"/>
        <v>260.45999999999998</v>
      </c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>
        <v>0</v>
      </c>
    </row>
    <row r="239" spans="1:206" x14ac:dyDescent="0.25">
      <c r="A239" s="4">
        <v>50</v>
      </c>
      <c r="B239" s="4">
        <v>0</v>
      </c>
      <c r="C239" s="4">
        <v>0</v>
      </c>
      <c r="D239" s="4">
        <v>1</v>
      </c>
      <c r="E239" s="4">
        <v>201</v>
      </c>
      <c r="F239" s="4">
        <f>ROUND(Source!O237,O239)</f>
        <v>74299.33</v>
      </c>
      <c r="G239" s="4" t="s">
        <v>422</v>
      </c>
      <c r="H239" s="4" t="s">
        <v>423</v>
      </c>
      <c r="I239" s="4"/>
      <c r="J239" s="4"/>
      <c r="K239" s="4">
        <v>201</v>
      </c>
      <c r="L239" s="4">
        <v>1</v>
      </c>
      <c r="M239" s="4">
        <v>3</v>
      </c>
      <c r="N239" s="4" t="s">
        <v>332</v>
      </c>
      <c r="O239" s="4">
        <v>2</v>
      </c>
      <c r="P239" s="4"/>
      <c r="Q239" s="4"/>
      <c r="R239" s="4"/>
      <c r="S239" s="4"/>
      <c r="T239" s="4"/>
      <c r="U239" s="4"/>
      <c r="V239" s="4"/>
      <c r="W239" s="4">
        <v>74559.789999999994</v>
      </c>
      <c r="X239" s="4">
        <v>1</v>
      </c>
      <c r="Y239" s="4">
        <v>74559.789999999994</v>
      </c>
      <c r="Z239" s="4"/>
      <c r="AA239" s="4"/>
      <c r="AB239" s="4"/>
    </row>
    <row r="240" spans="1:206" x14ac:dyDescent="0.25">
      <c r="A240" s="4">
        <v>50</v>
      </c>
      <c r="B240" s="4">
        <v>0</v>
      </c>
      <c r="C240" s="4">
        <v>0</v>
      </c>
      <c r="D240" s="4">
        <v>1</v>
      </c>
      <c r="E240" s="4">
        <v>202</v>
      </c>
      <c r="F240" s="4">
        <f>ROUND(Source!P237,O240)</f>
        <v>48161</v>
      </c>
      <c r="G240" s="4" t="s">
        <v>424</v>
      </c>
      <c r="H240" s="4" t="s">
        <v>425</v>
      </c>
      <c r="I240" s="4"/>
      <c r="J240" s="4"/>
      <c r="K240" s="4">
        <v>202</v>
      </c>
      <c r="L240" s="4">
        <v>2</v>
      </c>
      <c r="M240" s="4">
        <v>3</v>
      </c>
      <c r="N240" s="4" t="s">
        <v>332</v>
      </c>
      <c r="O240" s="4">
        <v>2</v>
      </c>
      <c r="P240" s="4"/>
      <c r="Q240" s="4"/>
      <c r="R240" s="4"/>
      <c r="S240" s="4"/>
      <c r="T240" s="4"/>
      <c r="U240" s="4"/>
      <c r="V240" s="4"/>
      <c r="W240" s="4">
        <v>48161</v>
      </c>
      <c r="X240" s="4">
        <v>1</v>
      </c>
      <c r="Y240" s="4">
        <v>48161</v>
      </c>
      <c r="Z240" s="4"/>
      <c r="AA240" s="4"/>
      <c r="AB240" s="4"/>
    </row>
    <row r="241" spans="1:28" x14ac:dyDescent="0.25">
      <c r="A241" s="4">
        <v>50</v>
      </c>
      <c r="B241" s="4">
        <v>0</v>
      </c>
      <c r="C241" s="4">
        <v>0</v>
      </c>
      <c r="D241" s="4">
        <v>1</v>
      </c>
      <c r="E241" s="4">
        <v>222</v>
      </c>
      <c r="F241" s="4">
        <f>ROUND(Source!AO237,O241)</f>
        <v>0</v>
      </c>
      <c r="G241" s="4" t="s">
        <v>426</v>
      </c>
      <c r="H241" s="4" t="s">
        <v>427</v>
      </c>
      <c r="I241" s="4"/>
      <c r="J241" s="4"/>
      <c r="K241" s="4">
        <v>222</v>
      </c>
      <c r="L241" s="4">
        <v>3</v>
      </c>
      <c r="M241" s="4">
        <v>3</v>
      </c>
      <c r="N241" s="4" t="s">
        <v>332</v>
      </c>
      <c r="O241" s="4">
        <v>2</v>
      </c>
      <c r="P241" s="4"/>
      <c r="Q241" s="4"/>
      <c r="R241" s="4"/>
      <c r="S241" s="4"/>
      <c r="T241" s="4"/>
      <c r="U241" s="4"/>
      <c r="V241" s="4"/>
      <c r="W241" s="4">
        <v>0</v>
      </c>
      <c r="X241" s="4">
        <v>1</v>
      </c>
      <c r="Y241" s="4">
        <v>0</v>
      </c>
      <c r="Z241" s="4"/>
      <c r="AA241" s="4"/>
      <c r="AB241" s="4"/>
    </row>
    <row r="242" spans="1:28" x14ac:dyDescent="0.25">
      <c r="A242" s="4">
        <v>50</v>
      </c>
      <c r="B242" s="4">
        <v>0</v>
      </c>
      <c r="C242" s="4">
        <v>0</v>
      </c>
      <c r="D242" s="4">
        <v>1</v>
      </c>
      <c r="E242" s="4">
        <v>225</v>
      </c>
      <c r="F242" s="4">
        <f>ROUND(Source!AV237,O242)</f>
        <v>48161</v>
      </c>
      <c r="G242" s="4" t="s">
        <v>428</v>
      </c>
      <c r="H242" s="4" t="s">
        <v>429</v>
      </c>
      <c r="I242" s="4"/>
      <c r="J242" s="4"/>
      <c r="K242" s="4">
        <v>225</v>
      </c>
      <c r="L242" s="4">
        <v>4</v>
      </c>
      <c r="M242" s="4">
        <v>3</v>
      </c>
      <c r="N242" s="4" t="s">
        <v>332</v>
      </c>
      <c r="O242" s="4">
        <v>2</v>
      </c>
      <c r="P242" s="4"/>
      <c r="Q242" s="4"/>
      <c r="R242" s="4"/>
      <c r="S242" s="4"/>
      <c r="T242" s="4"/>
      <c r="U242" s="4"/>
      <c r="V242" s="4"/>
      <c r="W242" s="4">
        <v>48161</v>
      </c>
      <c r="X242" s="4">
        <v>1</v>
      </c>
      <c r="Y242" s="4">
        <v>48161</v>
      </c>
      <c r="Z242" s="4"/>
      <c r="AA242" s="4"/>
      <c r="AB242" s="4"/>
    </row>
    <row r="243" spans="1:28" x14ac:dyDescent="0.25">
      <c r="A243" s="4">
        <v>50</v>
      </c>
      <c r="B243" s="4">
        <v>0</v>
      </c>
      <c r="C243" s="4">
        <v>0</v>
      </c>
      <c r="D243" s="4">
        <v>1</v>
      </c>
      <c r="E243" s="4">
        <v>226</v>
      </c>
      <c r="F243" s="4">
        <f>ROUND(Source!AW237,O243)</f>
        <v>48161</v>
      </c>
      <c r="G243" s="4" t="s">
        <v>430</v>
      </c>
      <c r="H243" s="4" t="s">
        <v>431</v>
      </c>
      <c r="I243" s="4"/>
      <c r="J243" s="4"/>
      <c r="K243" s="4">
        <v>226</v>
      </c>
      <c r="L243" s="4">
        <v>5</v>
      </c>
      <c r="M243" s="4">
        <v>3</v>
      </c>
      <c r="N243" s="4" t="s">
        <v>332</v>
      </c>
      <c r="O243" s="4">
        <v>2</v>
      </c>
      <c r="P243" s="4"/>
      <c r="Q243" s="4"/>
      <c r="R243" s="4"/>
      <c r="S243" s="4"/>
      <c r="T243" s="4"/>
      <c r="U243" s="4"/>
      <c r="V243" s="4"/>
      <c r="W243" s="4">
        <v>48161</v>
      </c>
      <c r="X243" s="4">
        <v>1</v>
      </c>
      <c r="Y243" s="4">
        <v>48161</v>
      </c>
      <c r="Z243" s="4"/>
      <c r="AA243" s="4"/>
      <c r="AB243" s="4"/>
    </row>
    <row r="244" spans="1:28" x14ac:dyDescent="0.25">
      <c r="A244" s="4">
        <v>50</v>
      </c>
      <c r="B244" s="4">
        <v>0</v>
      </c>
      <c r="C244" s="4">
        <v>0</v>
      </c>
      <c r="D244" s="4">
        <v>1</v>
      </c>
      <c r="E244" s="4">
        <v>227</v>
      </c>
      <c r="F244" s="4">
        <f>ROUND(Source!AX237,O244)</f>
        <v>0</v>
      </c>
      <c r="G244" s="4" t="s">
        <v>432</v>
      </c>
      <c r="H244" s="4" t="s">
        <v>433</v>
      </c>
      <c r="I244" s="4"/>
      <c r="J244" s="4"/>
      <c r="K244" s="4">
        <v>227</v>
      </c>
      <c r="L244" s="4">
        <v>6</v>
      </c>
      <c r="M244" s="4">
        <v>3</v>
      </c>
      <c r="N244" s="4" t="s">
        <v>332</v>
      </c>
      <c r="O244" s="4">
        <v>2</v>
      </c>
      <c r="P244" s="4"/>
      <c r="Q244" s="4"/>
      <c r="R244" s="4"/>
      <c r="S244" s="4"/>
      <c r="T244" s="4"/>
      <c r="U244" s="4"/>
      <c r="V244" s="4"/>
      <c r="W244" s="4">
        <v>0</v>
      </c>
      <c r="X244" s="4">
        <v>1</v>
      </c>
      <c r="Y244" s="4">
        <v>0</v>
      </c>
      <c r="Z244" s="4"/>
      <c r="AA244" s="4"/>
      <c r="AB244" s="4"/>
    </row>
    <row r="245" spans="1:28" x14ac:dyDescent="0.25">
      <c r="A245" s="4">
        <v>50</v>
      </c>
      <c r="B245" s="4">
        <v>0</v>
      </c>
      <c r="C245" s="4">
        <v>0</v>
      </c>
      <c r="D245" s="4">
        <v>1</v>
      </c>
      <c r="E245" s="4">
        <v>228</v>
      </c>
      <c r="F245" s="4">
        <f>ROUND(Source!AY237,O245)</f>
        <v>48161</v>
      </c>
      <c r="G245" s="4" t="s">
        <v>434</v>
      </c>
      <c r="H245" s="4" t="s">
        <v>435</v>
      </c>
      <c r="I245" s="4"/>
      <c r="J245" s="4"/>
      <c r="K245" s="4">
        <v>228</v>
      </c>
      <c r="L245" s="4">
        <v>7</v>
      </c>
      <c r="M245" s="4">
        <v>3</v>
      </c>
      <c r="N245" s="4" t="s">
        <v>332</v>
      </c>
      <c r="O245" s="4">
        <v>2</v>
      </c>
      <c r="P245" s="4"/>
      <c r="Q245" s="4"/>
      <c r="R245" s="4"/>
      <c r="S245" s="4"/>
      <c r="T245" s="4"/>
      <c r="U245" s="4"/>
      <c r="V245" s="4"/>
      <c r="W245" s="4">
        <v>48161</v>
      </c>
      <c r="X245" s="4">
        <v>1</v>
      </c>
      <c r="Y245" s="4">
        <v>48161</v>
      </c>
      <c r="Z245" s="4"/>
      <c r="AA245" s="4"/>
      <c r="AB245" s="4"/>
    </row>
    <row r="246" spans="1:28" x14ac:dyDescent="0.25">
      <c r="A246" s="4">
        <v>50</v>
      </c>
      <c r="B246" s="4">
        <v>0</v>
      </c>
      <c r="C246" s="4">
        <v>0</v>
      </c>
      <c r="D246" s="4">
        <v>1</v>
      </c>
      <c r="E246" s="4">
        <v>216</v>
      </c>
      <c r="F246" s="4">
        <f>ROUND(Source!AP237,O246)</f>
        <v>0</v>
      </c>
      <c r="G246" s="4" t="s">
        <v>436</v>
      </c>
      <c r="H246" s="4" t="s">
        <v>437</v>
      </c>
      <c r="I246" s="4"/>
      <c r="J246" s="4"/>
      <c r="K246" s="4">
        <v>216</v>
      </c>
      <c r="L246" s="4">
        <v>8</v>
      </c>
      <c r="M246" s="4">
        <v>3</v>
      </c>
      <c r="N246" s="4" t="s">
        <v>332</v>
      </c>
      <c r="O246" s="4">
        <v>2</v>
      </c>
      <c r="P246" s="4"/>
      <c r="Q246" s="4"/>
      <c r="R246" s="4"/>
      <c r="S246" s="4"/>
      <c r="T246" s="4"/>
      <c r="U246" s="4"/>
      <c r="V246" s="4"/>
      <c r="W246" s="4">
        <v>0</v>
      </c>
      <c r="X246" s="4">
        <v>1</v>
      </c>
      <c r="Y246" s="4">
        <v>0</v>
      </c>
      <c r="Z246" s="4"/>
      <c r="AA246" s="4"/>
      <c r="AB246" s="4"/>
    </row>
    <row r="247" spans="1:28" x14ac:dyDescent="0.25">
      <c r="A247" s="4">
        <v>50</v>
      </c>
      <c r="B247" s="4">
        <v>0</v>
      </c>
      <c r="C247" s="4">
        <v>0</v>
      </c>
      <c r="D247" s="4">
        <v>1</v>
      </c>
      <c r="E247" s="4">
        <v>223</v>
      </c>
      <c r="F247" s="4">
        <f>ROUND(Source!AQ237,O247)</f>
        <v>0</v>
      </c>
      <c r="G247" s="4" t="s">
        <v>438</v>
      </c>
      <c r="H247" s="4" t="s">
        <v>439</v>
      </c>
      <c r="I247" s="4"/>
      <c r="J247" s="4"/>
      <c r="K247" s="4">
        <v>223</v>
      </c>
      <c r="L247" s="4">
        <v>9</v>
      </c>
      <c r="M247" s="4">
        <v>3</v>
      </c>
      <c r="N247" s="4" t="s">
        <v>332</v>
      </c>
      <c r="O247" s="4">
        <v>2</v>
      </c>
      <c r="P247" s="4"/>
      <c r="Q247" s="4"/>
      <c r="R247" s="4"/>
      <c r="S247" s="4"/>
      <c r="T247" s="4"/>
      <c r="U247" s="4"/>
      <c r="V247" s="4"/>
      <c r="W247" s="4">
        <v>0</v>
      </c>
      <c r="X247" s="4">
        <v>1</v>
      </c>
      <c r="Y247" s="4">
        <v>0</v>
      </c>
      <c r="Z247" s="4"/>
      <c r="AA247" s="4"/>
      <c r="AB247" s="4"/>
    </row>
    <row r="248" spans="1:28" x14ac:dyDescent="0.25">
      <c r="A248" s="4">
        <v>50</v>
      </c>
      <c r="B248" s="4">
        <v>0</v>
      </c>
      <c r="C248" s="4">
        <v>0</v>
      </c>
      <c r="D248" s="4">
        <v>1</v>
      </c>
      <c r="E248" s="4">
        <v>229</v>
      </c>
      <c r="F248" s="4">
        <f>ROUND(Source!AZ237,O248)</f>
        <v>0</v>
      </c>
      <c r="G248" s="4" t="s">
        <v>440</v>
      </c>
      <c r="H248" s="4" t="s">
        <v>441</v>
      </c>
      <c r="I248" s="4"/>
      <c r="J248" s="4"/>
      <c r="K248" s="4">
        <v>229</v>
      </c>
      <c r="L248" s="4">
        <v>10</v>
      </c>
      <c r="M248" s="4">
        <v>3</v>
      </c>
      <c r="N248" s="4" t="s">
        <v>332</v>
      </c>
      <c r="O248" s="4">
        <v>2</v>
      </c>
      <c r="P248" s="4"/>
      <c r="Q248" s="4"/>
      <c r="R248" s="4"/>
      <c r="S248" s="4"/>
      <c r="T248" s="4"/>
      <c r="U248" s="4"/>
      <c r="V248" s="4"/>
      <c r="W248" s="4">
        <v>0</v>
      </c>
      <c r="X248" s="4">
        <v>1</v>
      </c>
      <c r="Y248" s="4">
        <v>0</v>
      </c>
      <c r="Z248" s="4"/>
      <c r="AA248" s="4"/>
      <c r="AB248" s="4"/>
    </row>
    <row r="249" spans="1:28" x14ac:dyDescent="0.25">
      <c r="A249" s="4">
        <v>50</v>
      </c>
      <c r="B249" s="4">
        <v>0</v>
      </c>
      <c r="C249" s="4">
        <v>0</v>
      </c>
      <c r="D249" s="4">
        <v>1</v>
      </c>
      <c r="E249" s="4">
        <v>203</v>
      </c>
      <c r="F249" s="4">
        <f>ROUND(Source!Q237,O249)</f>
        <v>174.26</v>
      </c>
      <c r="G249" s="4" t="s">
        <v>442</v>
      </c>
      <c r="H249" s="4" t="s">
        <v>443</v>
      </c>
      <c r="I249" s="4"/>
      <c r="J249" s="4"/>
      <c r="K249" s="4">
        <v>203</v>
      </c>
      <c r="L249" s="4">
        <v>11</v>
      </c>
      <c r="M249" s="4">
        <v>3</v>
      </c>
      <c r="N249" s="4" t="s">
        <v>332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174.26</v>
      </c>
      <c r="X249" s="4">
        <v>1</v>
      </c>
      <c r="Y249" s="4">
        <v>174.26</v>
      </c>
      <c r="Z249" s="4"/>
      <c r="AA249" s="4"/>
      <c r="AB249" s="4"/>
    </row>
    <row r="250" spans="1:28" x14ac:dyDescent="0.25">
      <c r="A250" s="4">
        <v>50</v>
      </c>
      <c r="B250" s="4">
        <v>0</v>
      </c>
      <c r="C250" s="4">
        <v>0</v>
      </c>
      <c r="D250" s="4">
        <v>1</v>
      </c>
      <c r="E250" s="4">
        <v>231</v>
      </c>
      <c r="F250" s="4">
        <f>ROUND(Source!BB237,O250)</f>
        <v>0</v>
      </c>
      <c r="G250" s="4" t="s">
        <v>444</v>
      </c>
      <c r="H250" s="4" t="s">
        <v>445</v>
      </c>
      <c r="I250" s="4"/>
      <c r="J250" s="4"/>
      <c r="K250" s="4">
        <v>231</v>
      </c>
      <c r="L250" s="4">
        <v>12</v>
      </c>
      <c r="M250" s="4">
        <v>3</v>
      </c>
      <c r="N250" s="4" t="s">
        <v>332</v>
      </c>
      <c r="O250" s="4">
        <v>2</v>
      </c>
      <c r="P250" s="4"/>
      <c r="Q250" s="4"/>
      <c r="R250" s="4"/>
      <c r="S250" s="4"/>
      <c r="T250" s="4"/>
      <c r="U250" s="4"/>
      <c r="V250" s="4"/>
      <c r="W250" s="4">
        <v>0</v>
      </c>
      <c r="X250" s="4">
        <v>1</v>
      </c>
      <c r="Y250" s="4">
        <v>0</v>
      </c>
      <c r="Z250" s="4"/>
      <c r="AA250" s="4"/>
      <c r="AB250" s="4"/>
    </row>
    <row r="251" spans="1:28" x14ac:dyDescent="0.25">
      <c r="A251" s="4">
        <v>50</v>
      </c>
      <c r="B251" s="4">
        <v>0</v>
      </c>
      <c r="C251" s="4">
        <v>0</v>
      </c>
      <c r="D251" s="4">
        <v>1</v>
      </c>
      <c r="E251" s="4">
        <v>204</v>
      </c>
      <c r="F251" s="4">
        <f>ROUND(Source!R237,O251)</f>
        <v>146.59</v>
      </c>
      <c r="G251" s="4" t="s">
        <v>446</v>
      </c>
      <c r="H251" s="4" t="s">
        <v>447</v>
      </c>
      <c r="I251" s="4"/>
      <c r="J251" s="4"/>
      <c r="K251" s="4">
        <v>204</v>
      </c>
      <c r="L251" s="4">
        <v>13</v>
      </c>
      <c r="M251" s="4">
        <v>3</v>
      </c>
      <c r="N251" s="4" t="s">
        <v>332</v>
      </c>
      <c r="O251" s="4">
        <v>2</v>
      </c>
      <c r="P251" s="4"/>
      <c r="Q251" s="4"/>
      <c r="R251" s="4"/>
      <c r="S251" s="4"/>
      <c r="T251" s="4"/>
      <c r="U251" s="4"/>
      <c r="V251" s="4"/>
      <c r="W251" s="4">
        <v>146.59</v>
      </c>
      <c r="X251" s="4">
        <v>1</v>
      </c>
      <c r="Y251" s="4">
        <v>146.59</v>
      </c>
      <c r="Z251" s="4"/>
      <c r="AA251" s="4"/>
      <c r="AB251" s="4"/>
    </row>
    <row r="252" spans="1:28" x14ac:dyDescent="0.25">
      <c r="A252" s="4">
        <v>50</v>
      </c>
      <c r="B252" s="4">
        <v>0</v>
      </c>
      <c r="C252" s="4">
        <v>0</v>
      </c>
      <c r="D252" s="4">
        <v>1</v>
      </c>
      <c r="E252" s="4">
        <v>205</v>
      </c>
      <c r="F252" s="4">
        <f>ROUND(Source!S237,O252)</f>
        <v>25817.48</v>
      </c>
      <c r="G252" s="4" t="s">
        <v>448</v>
      </c>
      <c r="H252" s="4" t="s">
        <v>449</v>
      </c>
      <c r="I252" s="4"/>
      <c r="J252" s="4"/>
      <c r="K252" s="4">
        <v>205</v>
      </c>
      <c r="L252" s="4">
        <v>14</v>
      </c>
      <c r="M252" s="4">
        <v>3</v>
      </c>
      <c r="N252" s="4" t="s">
        <v>332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25817.48</v>
      </c>
      <c r="X252" s="4">
        <v>1</v>
      </c>
      <c r="Y252" s="4">
        <v>25817.48</v>
      </c>
      <c r="Z252" s="4"/>
      <c r="AA252" s="4"/>
      <c r="AB252" s="4"/>
    </row>
    <row r="253" spans="1:28" x14ac:dyDescent="0.25">
      <c r="A253" s="4">
        <v>50</v>
      </c>
      <c r="B253" s="4">
        <v>0</v>
      </c>
      <c r="C253" s="4">
        <v>0</v>
      </c>
      <c r="D253" s="4">
        <v>1</v>
      </c>
      <c r="E253" s="4">
        <v>232</v>
      </c>
      <c r="F253" s="4">
        <f>ROUND(Source!BC237,O253)</f>
        <v>0</v>
      </c>
      <c r="G253" s="4" t="s">
        <v>450</v>
      </c>
      <c r="H253" s="4" t="s">
        <v>451</v>
      </c>
      <c r="I253" s="4"/>
      <c r="J253" s="4"/>
      <c r="K253" s="4">
        <v>232</v>
      </c>
      <c r="L253" s="4">
        <v>15</v>
      </c>
      <c r="M253" s="4">
        <v>3</v>
      </c>
      <c r="N253" s="4" t="s">
        <v>332</v>
      </c>
      <c r="O253" s="4">
        <v>2</v>
      </c>
      <c r="P253" s="4"/>
      <c r="Q253" s="4"/>
      <c r="R253" s="4"/>
      <c r="S253" s="4"/>
      <c r="T253" s="4"/>
      <c r="U253" s="4"/>
      <c r="V253" s="4"/>
      <c r="W253" s="4">
        <v>0</v>
      </c>
      <c r="X253" s="4">
        <v>1</v>
      </c>
      <c r="Y253" s="4">
        <v>0</v>
      </c>
      <c r="Z253" s="4"/>
      <c r="AA253" s="4"/>
      <c r="AB253" s="4"/>
    </row>
    <row r="254" spans="1:28" x14ac:dyDescent="0.25">
      <c r="A254" s="4">
        <v>50</v>
      </c>
      <c r="B254" s="4">
        <v>0</v>
      </c>
      <c r="C254" s="4">
        <v>0</v>
      </c>
      <c r="D254" s="4">
        <v>1</v>
      </c>
      <c r="E254" s="4">
        <v>214</v>
      </c>
      <c r="F254" s="4">
        <f>ROUND(Source!AS237,O254)</f>
        <v>113692.82</v>
      </c>
      <c r="G254" s="4" t="s">
        <v>452</v>
      </c>
      <c r="H254" s="4" t="s">
        <v>453</v>
      </c>
      <c r="I254" s="4"/>
      <c r="J254" s="4"/>
      <c r="K254" s="4">
        <v>214</v>
      </c>
      <c r="L254" s="4">
        <v>16</v>
      </c>
      <c r="M254" s="4">
        <v>3</v>
      </c>
      <c r="N254" s="4" t="s">
        <v>332</v>
      </c>
      <c r="O254" s="4">
        <v>2</v>
      </c>
      <c r="P254" s="4"/>
      <c r="Q254" s="4"/>
      <c r="R254" s="4"/>
      <c r="S254" s="4"/>
      <c r="T254" s="4"/>
      <c r="U254" s="4"/>
      <c r="V254" s="4"/>
      <c r="W254" s="4">
        <v>113692.82</v>
      </c>
      <c r="X254" s="4">
        <v>1</v>
      </c>
      <c r="Y254" s="4">
        <v>113692.82</v>
      </c>
      <c r="Z254" s="4"/>
      <c r="AA254" s="4"/>
      <c r="AB254" s="4"/>
    </row>
    <row r="255" spans="1:28" x14ac:dyDescent="0.25">
      <c r="A255" s="4">
        <v>50</v>
      </c>
      <c r="B255" s="4">
        <v>0</v>
      </c>
      <c r="C255" s="4">
        <v>0</v>
      </c>
      <c r="D255" s="4">
        <v>1</v>
      </c>
      <c r="E255" s="4">
        <v>215</v>
      </c>
      <c r="F255" s="4">
        <f>ROUND(Source!AT237,O255)</f>
        <v>0</v>
      </c>
      <c r="G255" s="4" t="s">
        <v>454</v>
      </c>
      <c r="H255" s="4" t="s">
        <v>455</v>
      </c>
      <c r="I255" s="4"/>
      <c r="J255" s="4"/>
      <c r="K255" s="4">
        <v>215</v>
      </c>
      <c r="L255" s="4">
        <v>17</v>
      </c>
      <c r="M255" s="4">
        <v>3</v>
      </c>
      <c r="N255" s="4" t="s">
        <v>332</v>
      </c>
      <c r="O255" s="4">
        <v>2</v>
      </c>
      <c r="P255" s="4"/>
      <c r="Q255" s="4"/>
      <c r="R255" s="4"/>
      <c r="S255" s="4"/>
      <c r="T255" s="4"/>
      <c r="U255" s="4"/>
      <c r="V255" s="4"/>
      <c r="W255" s="4">
        <v>0</v>
      </c>
      <c r="X255" s="4">
        <v>1</v>
      </c>
      <c r="Y255" s="4">
        <v>0</v>
      </c>
      <c r="Z255" s="4"/>
      <c r="AA255" s="4"/>
      <c r="AB255" s="4"/>
    </row>
    <row r="256" spans="1:28" x14ac:dyDescent="0.25">
      <c r="A256" s="4">
        <v>50</v>
      </c>
      <c r="B256" s="4">
        <v>0</v>
      </c>
      <c r="C256" s="4">
        <v>0</v>
      </c>
      <c r="D256" s="4">
        <v>1</v>
      </c>
      <c r="E256" s="4">
        <v>217</v>
      </c>
      <c r="F256" s="4">
        <f>ROUND(Source!AU237,O256)</f>
        <v>0</v>
      </c>
      <c r="G256" s="4" t="s">
        <v>456</v>
      </c>
      <c r="H256" s="4" t="s">
        <v>457</v>
      </c>
      <c r="I256" s="4"/>
      <c r="J256" s="4"/>
      <c r="K256" s="4">
        <v>217</v>
      </c>
      <c r="L256" s="4">
        <v>18</v>
      </c>
      <c r="M256" s="4">
        <v>3</v>
      </c>
      <c r="N256" s="4" t="s">
        <v>332</v>
      </c>
      <c r="O256" s="4">
        <v>2</v>
      </c>
      <c r="P256" s="4"/>
      <c r="Q256" s="4"/>
      <c r="R256" s="4"/>
      <c r="S256" s="4"/>
      <c r="T256" s="4"/>
      <c r="U256" s="4"/>
      <c r="V256" s="4"/>
      <c r="W256" s="4">
        <v>0</v>
      </c>
      <c r="X256" s="4">
        <v>1</v>
      </c>
      <c r="Y256" s="4">
        <v>0</v>
      </c>
      <c r="Z256" s="4"/>
      <c r="AA256" s="4"/>
      <c r="AB256" s="4"/>
    </row>
    <row r="257" spans="1:28" x14ac:dyDescent="0.25">
      <c r="A257" s="4">
        <v>50</v>
      </c>
      <c r="B257" s="4">
        <v>0</v>
      </c>
      <c r="C257" s="4">
        <v>0</v>
      </c>
      <c r="D257" s="4">
        <v>1</v>
      </c>
      <c r="E257" s="4">
        <v>230</v>
      </c>
      <c r="F257" s="4">
        <f>ROUND(Source!BA237,O257)</f>
        <v>0</v>
      </c>
      <c r="G257" s="4" t="s">
        <v>458</v>
      </c>
      <c r="H257" s="4" t="s">
        <v>459</v>
      </c>
      <c r="I257" s="4"/>
      <c r="J257" s="4"/>
      <c r="K257" s="4">
        <v>230</v>
      </c>
      <c r="L257" s="4">
        <v>19</v>
      </c>
      <c r="M257" s="4">
        <v>3</v>
      </c>
      <c r="N257" s="4" t="s">
        <v>332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0</v>
      </c>
      <c r="X257" s="4">
        <v>1</v>
      </c>
      <c r="Y257" s="4">
        <v>0</v>
      </c>
      <c r="Z257" s="4"/>
      <c r="AA257" s="4"/>
      <c r="AB257" s="4"/>
    </row>
    <row r="258" spans="1:28" x14ac:dyDescent="0.25">
      <c r="A258" s="4">
        <v>50</v>
      </c>
      <c r="B258" s="4">
        <v>0</v>
      </c>
      <c r="C258" s="4">
        <v>0</v>
      </c>
      <c r="D258" s="4">
        <v>1</v>
      </c>
      <c r="E258" s="4">
        <v>206</v>
      </c>
      <c r="F258" s="4">
        <f>ROUND(Source!T237,O258)</f>
        <v>0</v>
      </c>
      <c r="G258" s="4" t="s">
        <v>460</v>
      </c>
      <c r="H258" s="4" t="s">
        <v>461</v>
      </c>
      <c r="I258" s="4"/>
      <c r="J258" s="4"/>
      <c r="K258" s="4">
        <v>206</v>
      </c>
      <c r="L258" s="4">
        <v>20</v>
      </c>
      <c r="M258" s="4">
        <v>3</v>
      </c>
      <c r="N258" s="4" t="s">
        <v>332</v>
      </c>
      <c r="O258" s="4">
        <v>2</v>
      </c>
      <c r="P258" s="4"/>
      <c r="Q258" s="4"/>
      <c r="R258" s="4"/>
      <c r="S258" s="4"/>
      <c r="T258" s="4"/>
      <c r="U258" s="4"/>
      <c r="V258" s="4"/>
      <c r="W258" s="4">
        <v>0</v>
      </c>
      <c r="X258" s="4">
        <v>1</v>
      </c>
      <c r="Y258" s="4">
        <v>0</v>
      </c>
      <c r="Z258" s="4"/>
      <c r="AA258" s="4"/>
      <c r="AB258" s="4"/>
    </row>
    <row r="259" spans="1:28" x14ac:dyDescent="0.25">
      <c r="A259" s="4">
        <v>50</v>
      </c>
      <c r="B259" s="4">
        <v>0</v>
      </c>
      <c r="C259" s="4">
        <v>0</v>
      </c>
      <c r="D259" s="4">
        <v>1</v>
      </c>
      <c r="E259" s="4">
        <v>207</v>
      </c>
      <c r="F259" s="4">
        <f>ROUND(Source!U237,O259)</f>
        <v>37.318728100000001</v>
      </c>
      <c r="G259" s="4" t="s">
        <v>462</v>
      </c>
      <c r="H259" s="4" t="s">
        <v>463</v>
      </c>
      <c r="I259" s="4"/>
      <c r="J259" s="4"/>
      <c r="K259" s="4">
        <v>207</v>
      </c>
      <c r="L259" s="4">
        <v>21</v>
      </c>
      <c r="M259" s="4">
        <v>3</v>
      </c>
      <c r="N259" s="4" t="s">
        <v>332</v>
      </c>
      <c r="O259" s="4">
        <v>7</v>
      </c>
      <c r="P259" s="4"/>
      <c r="Q259" s="4"/>
      <c r="R259" s="4"/>
      <c r="S259" s="4"/>
      <c r="T259" s="4"/>
      <c r="U259" s="4"/>
      <c r="V259" s="4"/>
      <c r="W259" s="4">
        <v>37.318728100000001</v>
      </c>
      <c r="X259" s="4">
        <v>1</v>
      </c>
      <c r="Y259" s="4">
        <v>37.318728100000001</v>
      </c>
      <c r="Z259" s="4"/>
      <c r="AA259" s="4"/>
      <c r="AB259" s="4"/>
    </row>
    <row r="260" spans="1:28" x14ac:dyDescent="0.25">
      <c r="A260" s="4">
        <v>50</v>
      </c>
      <c r="B260" s="4">
        <v>0</v>
      </c>
      <c r="C260" s="4">
        <v>0</v>
      </c>
      <c r="D260" s="4">
        <v>1</v>
      </c>
      <c r="E260" s="4">
        <v>208</v>
      </c>
      <c r="F260" s="4">
        <f>ROUND(Source!V237,O260)</f>
        <v>0.2046172</v>
      </c>
      <c r="G260" s="4" t="s">
        <v>464</v>
      </c>
      <c r="H260" s="4" t="s">
        <v>465</v>
      </c>
      <c r="I260" s="4"/>
      <c r="J260" s="4"/>
      <c r="K260" s="4">
        <v>208</v>
      </c>
      <c r="L260" s="4">
        <v>22</v>
      </c>
      <c r="M260" s="4">
        <v>3</v>
      </c>
      <c r="N260" s="4" t="s">
        <v>332</v>
      </c>
      <c r="O260" s="4">
        <v>7</v>
      </c>
      <c r="P260" s="4"/>
      <c r="Q260" s="4"/>
      <c r="R260" s="4"/>
      <c r="S260" s="4"/>
      <c r="T260" s="4"/>
      <c r="U260" s="4"/>
      <c r="V260" s="4"/>
      <c r="W260" s="4">
        <v>0.2046172</v>
      </c>
      <c r="X260" s="4">
        <v>1</v>
      </c>
      <c r="Y260" s="4">
        <v>0.2046172</v>
      </c>
      <c r="Z260" s="4"/>
      <c r="AA260" s="4"/>
      <c r="AB260" s="4"/>
    </row>
    <row r="261" spans="1:28" x14ac:dyDescent="0.25">
      <c r="A261" s="4">
        <v>50</v>
      </c>
      <c r="B261" s="4">
        <v>0</v>
      </c>
      <c r="C261" s="4">
        <v>0</v>
      </c>
      <c r="D261" s="4">
        <v>1</v>
      </c>
      <c r="E261" s="4">
        <v>209</v>
      </c>
      <c r="F261" s="4">
        <f>ROUND(Source!W237,O261)</f>
        <v>0</v>
      </c>
      <c r="G261" s="4" t="s">
        <v>466</v>
      </c>
      <c r="H261" s="4" t="s">
        <v>467</v>
      </c>
      <c r="I261" s="4"/>
      <c r="J261" s="4"/>
      <c r="K261" s="4">
        <v>209</v>
      </c>
      <c r="L261" s="4">
        <v>23</v>
      </c>
      <c r="M261" s="4">
        <v>3</v>
      </c>
      <c r="N261" s="4" t="s">
        <v>332</v>
      </c>
      <c r="O261" s="4">
        <v>2</v>
      </c>
      <c r="P261" s="4"/>
      <c r="Q261" s="4"/>
      <c r="R261" s="4"/>
      <c r="S261" s="4"/>
      <c r="T261" s="4"/>
      <c r="U261" s="4"/>
      <c r="V261" s="4"/>
      <c r="W261" s="4">
        <v>0</v>
      </c>
      <c r="X261" s="4">
        <v>1</v>
      </c>
      <c r="Y261" s="4">
        <v>0</v>
      </c>
      <c r="Z261" s="4"/>
      <c r="AA261" s="4"/>
      <c r="AB261" s="4"/>
    </row>
    <row r="262" spans="1:28" x14ac:dyDescent="0.25">
      <c r="A262" s="4">
        <v>50</v>
      </c>
      <c r="B262" s="4">
        <v>0</v>
      </c>
      <c r="C262" s="4">
        <v>0</v>
      </c>
      <c r="D262" s="4">
        <v>1</v>
      </c>
      <c r="E262" s="4">
        <v>233</v>
      </c>
      <c r="F262" s="4">
        <f>ROUND(Source!BD237,O262)</f>
        <v>260.45999999999998</v>
      </c>
      <c r="G262" s="4" t="s">
        <v>468</v>
      </c>
      <c r="H262" s="4" t="s">
        <v>469</v>
      </c>
      <c r="I262" s="4"/>
      <c r="J262" s="4"/>
      <c r="K262" s="4">
        <v>233</v>
      </c>
      <c r="L262" s="4">
        <v>24</v>
      </c>
      <c r="M262" s="4">
        <v>3</v>
      </c>
      <c r="N262" s="4" t="s">
        <v>332</v>
      </c>
      <c r="O262" s="4">
        <v>2</v>
      </c>
      <c r="P262" s="4"/>
      <c r="Q262" s="4"/>
      <c r="R262" s="4"/>
      <c r="S262" s="4"/>
      <c r="T262" s="4"/>
      <c r="U262" s="4"/>
      <c r="V262" s="4"/>
      <c r="W262" s="4">
        <v>260.45999999999998</v>
      </c>
      <c r="X262" s="4">
        <v>1</v>
      </c>
      <c r="Y262" s="4">
        <v>260.45999999999998</v>
      </c>
      <c r="Z262" s="4"/>
      <c r="AA262" s="4"/>
      <c r="AB262" s="4"/>
    </row>
    <row r="263" spans="1:28" x14ac:dyDescent="0.25">
      <c r="A263" s="4">
        <v>50</v>
      </c>
      <c r="B263" s="4">
        <v>0</v>
      </c>
      <c r="C263" s="4">
        <v>0</v>
      </c>
      <c r="D263" s="4">
        <v>1</v>
      </c>
      <c r="E263" s="4">
        <v>210</v>
      </c>
      <c r="F263" s="4">
        <f>ROUND(Source!X237,O263)</f>
        <v>26064.2</v>
      </c>
      <c r="G263" s="4" t="s">
        <v>470</v>
      </c>
      <c r="H263" s="4" t="s">
        <v>471</v>
      </c>
      <c r="I263" s="4"/>
      <c r="J263" s="4"/>
      <c r="K263" s="4">
        <v>210</v>
      </c>
      <c r="L263" s="4">
        <v>25</v>
      </c>
      <c r="M263" s="4">
        <v>3</v>
      </c>
      <c r="N263" s="4" t="s">
        <v>332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26064.2</v>
      </c>
      <c r="X263" s="4">
        <v>1</v>
      </c>
      <c r="Y263" s="4">
        <v>26064.2</v>
      </c>
      <c r="Z263" s="4"/>
      <c r="AA263" s="4"/>
      <c r="AB263" s="4"/>
    </row>
    <row r="264" spans="1:28" x14ac:dyDescent="0.25">
      <c r="A264" s="4">
        <v>50</v>
      </c>
      <c r="B264" s="4">
        <v>0</v>
      </c>
      <c r="C264" s="4">
        <v>0</v>
      </c>
      <c r="D264" s="4">
        <v>1</v>
      </c>
      <c r="E264" s="4">
        <v>211</v>
      </c>
      <c r="F264" s="4">
        <f>ROUND(Source!Y237,O264)</f>
        <v>13068.83</v>
      </c>
      <c r="G264" s="4" t="s">
        <v>472</v>
      </c>
      <c r="H264" s="4" t="s">
        <v>473</v>
      </c>
      <c r="I264" s="4"/>
      <c r="J264" s="4"/>
      <c r="K264" s="4">
        <v>211</v>
      </c>
      <c r="L264" s="4">
        <v>26</v>
      </c>
      <c r="M264" s="4">
        <v>3</v>
      </c>
      <c r="N264" s="4" t="s">
        <v>332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13068.83</v>
      </c>
      <c r="X264" s="4">
        <v>1</v>
      </c>
      <c r="Y264" s="4">
        <v>13068.83</v>
      </c>
      <c r="Z264" s="4"/>
      <c r="AA264" s="4"/>
      <c r="AB264" s="4"/>
    </row>
    <row r="265" spans="1:28" x14ac:dyDescent="0.25">
      <c r="A265" s="4">
        <v>50</v>
      </c>
      <c r="B265" s="4">
        <v>0</v>
      </c>
      <c r="C265" s="4">
        <v>0</v>
      </c>
      <c r="D265" s="4">
        <v>1</v>
      </c>
      <c r="E265" s="4">
        <v>224</v>
      </c>
      <c r="F265" s="4">
        <f>ROUND(Source!AR237,O265)</f>
        <v>113692.82</v>
      </c>
      <c r="G265" s="4" t="s">
        <v>474</v>
      </c>
      <c r="H265" s="4" t="s">
        <v>475</v>
      </c>
      <c r="I265" s="4"/>
      <c r="J265" s="4"/>
      <c r="K265" s="4">
        <v>224</v>
      </c>
      <c r="L265" s="4">
        <v>27</v>
      </c>
      <c r="M265" s="4">
        <v>3</v>
      </c>
      <c r="N265" s="4" t="s">
        <v>332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113692.82</v>
      </c>
      <c r="X265" s="4">
        <v>1</v>
      </c>
      <c r="Y265" s="4">
        <v>113692.82</v>
      </c>
      <c r="Z265" s="4"/>
      <c r="AA265" s="4"/>
      <c r="AB265" s="4"/>
    </row>
    <row r="266" spans="1:28" x14ac:dyDescent="0.25">
      <c r="A266" s="4">
        <v>50</v>
      </c>
      <c r="B266" s="4">
        <v>1</v>
      </c>
      <c r="C266" s="4">
        <v>0</v>
      </c>
      <c r="D266" s="4">
        <v>2</v>
      </c>
      <c r="E266" s="4">
        <v>0</v>
      </c>
      <c r="F266" s="4">
        <f>ROUND(F265,O266)</f>
        <v>113692.82</v>
      </c>
      <c r="G266" s="4" t="s">
        <v>567</v>
      </c>
      <c r="H266" s="4" t="s">
        <v>568</v>
      </c>
      <c r="I266" s="4"/>
      <c r="J266" s="4"/>
      <c r="K266" s="4">
        <v>212</v>
      </c>
      <c r="L266" s="4">
        <v>28</v>
      </c>
      <c r="M266" s="4">
        <v>0</v>
      </c>
      <c r="N266" s="4" t="s">
        <v>332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113692.82</v>
      </c>
      <c r="X266" s="4">
        <v>1</v>
      </c>
      <c r="Y266" s="4">
        <v>113692.82</v>
      </c>
      <c r="Z266" s="4"/>
      <c r="AA266" s="4"/>
      <c r="AB266" s="4"/>
    </row>
    <row r="267" spans="1:28" x14ac:dyDescent="0.25">
      <c r="A267" s="4">
        <v>50</v>
      </c>
      <c r="B267" s="4">
        <v>1</v>
      </c>
      <c r="C267" s="4">
        <v>0</v>
      </c>
      <c r="D267" s="4">
        <v>2</v>
      </c>
      <c r="E267" s="4">
        <v>0</v>
      </c>
      <c r="F267" s="4">
        <f>ROUND(F266*0.22,O267)</f>
        <v>25012.42</v>
      </c>
      <c r="G267" s="4" t="s">
        <v>569</v>
      </c>
      <c r="H267" s="4" t="s">
        <v>570</v>
      </c>
      <c r="I267" s="4"/>
      <c r="J267" s="4"/>
      <c r="K267" s="4">
        <v>212</v>
      </c>
      <c r="L267" s="4">
        <v>29</v>
      </c>
      <c r="M267" s="4">
        <v>0</v>
      </c>
      <c r="N267" s="4" t="s">
        <v>332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25012.42</v>
      </c>
      <c r="X267" s="4">
        <v>1</v>
      </c>
      <c r="Y267" s="4">
        <v>25012.42</v>
      </c>
      <c r="Z267" s="4"/>
      <c r="AA267" s="4"/>
      <c r="AB267" s="4"/>
    </row>
    <row r="268" spans="1:28" x14ac:dyDescent="0.25">
      <c r="A268" s="4">
        <v>50</v>
      </c>
      <c r="B268" s="4">
        <v>1</v>
      </c>
      <c r="C268" s="4">
        <v>0</v>
      </c>
      <c r="D268" s="4">
        <v>2</v>
      </c>
      <c r="E268" s="4">
        <v>213</v>
      </c>
      <c r="F268" s="4">
        <f>ROUND(F266+F267,O268)</f>
        <v>138705.24</v>
      </c>
      <c r="G268" s="4" t="s">
        <v>571</v>
      </c>
      <c r="H268" s="4" t="s">
        <v>572</v>
      </c>
      <c r="I268" s="4"/>
      <c r="J268" s="4"/>
      <c r="K268" s="4">
        <v>212</v>
      </c>
      <c r="L268" s="4">
        <v>30</v>
      </c>
      <c r="M268" s="4">
        <v>0</v>
      </c>
      <c r="N268" s="4" t="s">
        <v>332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138705.24</v>
      </c>
      <c r="X268" s="4">
        <v>1</v>
      </c>
      <c r="Y268" s="4">
        <v>138705.24</v>
      </c>
      <c r="Z268" s="4"/>
      <c r="AA268" s="4"/>
      <c r="AB268" s="4"/>
    </row>
    <row r="271" spans="1:28" x14ac:dyDescent="0.25">
      <c r="A271">
        <v>70</v>
      </c>
      <c r="B271">
        <v>1</v>
      </c>
      <c r="D271">
        <v>1</v>
      </c>
      <c r="E271" t="s">
        <v>573</v>
      </c>
      <c r="F271" t="s">
        <v>574</v>
      </c>
      <c r="G271">
        <v>0</v>
      </c>
      <c r="H271">
        <v>0</v>
      </c>
      <c r="I271" t="s">
        <v>332</v>
      </c>
      <c r="J271">
        <v>1</v>
      </c>
      <c r="K271">
        <v>0</v>
      </c>
      <c r="L271" t="s">
        <v>332</v>
      </c>
      <c r="M271" t="s">
        <v>332</v>
      </c>
      <c r="N271">
        <v>0</v>
      </c>
      <c r="P271" t="s">
        <v>575</v>
      </c>
    </row>
    <row r="272" spans="1:28" x14ac:dyDescent="0.25">
      <c r="A272">
        <v>70</v>
      </c>
      <c r="B272">
        <v>1</v>
      </c>
      <c r="D272">
        <v>2</v>
      </c>
      <c r="E272" t="s">
        <v>576</v>
      </c>
      <c r="F272" t="s">
        <v>577</v>
      </c>
      <c r="G272">
        <v>1</v>
      </c>
      <c r="H272">
        <v>0</v>
      </c>
      <c r="I272" t="s">
        <v>332</v>
      </c>
      <c r="J272">
        <v>1</v>
      </c>
      <c r="K272">
        <v>0</v>
      </c>
      <c r="L272" t="s">
        <v>332</v>
      </c>
      <c r="M272" t="s">
        <v>332</v>
      </c>
      <c r="N272">
        <v>0</v>
      </c>
      <c r="P272" t="s">
        <v>578</v>
      </c>
    </row>
    <row r="273" spans="1:16" x14ac:dyDescent="0.25">
      <c r="A273">
        <v>70</v>
      </c>
      <c r="B273">
        <v>1</v>
      </c>
      <c r="D273">
        <v>3</v>
      </c>
      <c r="E273" t="s">
        <v>579</v>
      </c>
      <c r="F273" t="s">
        <v>580</v>
      </c>
      <c r="G273">
        <v>0</v>
      </c>
      <c r="H273">
        <v>0</v>
      </c>
      <c r="I273" t="s">
        <v>332</v>
      </c>
      <c r="J273">
        <v>1</v>
      </c>
      <c r="K273">
        <v>0</v>
      </c>
      <c r="L273" t="s">
        <v>332</v>
      </c>
      <c r="M273" t="s">
        <v>332</v>
      </c>
      <c r="N273">
        <v>0</v>
      </c>
      <c r="P273" t="s">
        <v>581</v>
      </c>
    </row>
    <row r="274" spans="1:16" x14ac:dyDescent="0.25">
      <c r="A274">
        <v>70</v>
      </c>
      <c r="B274">
        <v>1</v>
      </c>
      <c r="D274">
        <v>4</v>
      </c>
      <c r="E274" t="s">
        <v>582</v>
      </c>
      <c r="F274" t="s">
        <v>583</v>
      </c>
      <c r="G274">
        <v>1</v>
      </c>
      <c r="H274">
        <v>0</v>
      </c>
      <c r="I274" t="s">
        <v>332</v>
      </c>
      <c r="J274">
        <v>2</v>
      </c>
      <c r="K274">
        <v>0</v>
      </c>
      <c r="L274" t="s">
        <v>332</v>
      </c>
      <c r="M274" t="s">
        <v>332</v>
      </c>
      <c r="N274">
        <v>0</v>
      </c>
      <c r="P274" t="s">
        <v>332</v>
      </c>
    </row>
    <row r="275" spans="1:16" x14ac:dyDescent="0.25">
      <c r="A275">
        <v>70</v>
      </c>
      <c r="B275">
        <v>1</v>
      </c>
      <c r="D275">
        <v>5</v>
      </c>
      <c r="E275" t="s">
        <v>584</v>
      </c>
      <c r="F275" t="s">
        <v>585</v>
      </c>
      <c r="G275">
        <v>0</v>
      </c>
      <c r="H275">
        <v>0</v>
      </c>
      <c r="I275" t="s">
        <v>332</v>
      </c>
      <c r="J275">
        <v>2</v>
      </c>
      <c r="K275">
        <v>0</v>
      </c>
      <c r="L275" t="s">
        <v>332</v>
      </c>
      <c r="M275" t="s">
        <v>332</v>
      </c>
      <c r="N275">
        <v>0</v>
      </c>
      <c r="P275" t="s">
        <v>332</v>
      </c>
    </row>
    <row r="276" spans="1:16" x14ac:dyDescent="0.25">
      <c r="A276">
        <v>70</v>
      </c>
      <c r="B276">
        <v>1</v>
      </c>
      <c r="D276">
        <v>6</v>
      </c>
      <c r="E276" t="s">
        <v>586</v>
      </c>
      <c r="F276" t="s">
        <v>587</v>
      </c>
      <c r="G276">
        <v>0</v>
      </c>
      <c r="H276">
        <v>0</v>
      </c>
      <c r="I276" t="s">
        <v>332</v>
      </c>
      <c r="J276">
        <v>2</v>
      </c>
      <c r="K276">
        <v>0</v>
      </c>
      <c r="L276" t="s">
        <v>332</v>
      </c>
      <c r="M276" t="s">
        <v>332</v>
      </c>
      <c r="N276">
        <v>0</v>
      </c>
      <c r="P276" t="s">
        <v>332</v>
      </c>
    </row>
    <row r="277" spans="1:16" x14ac:dyDescent="0.25">
      <c r="A277">
        <v>70</v>
      </c>
      <c r="B277">
        <v>1</v>
      </c>
      <c r="D277">
        <v>7</v>
      </c>
      <c r="E277" t="s">
        <v>588</v>
      </c>
      <c r="F277" t="s">
        <v>589</v>
      </c>
      <c r="G277">
        <v>0</v>
      </c>
      <c r="H277">
        <v>0</v>
      </c>
      <c r="I277" t="s">
        <v>590</v>
      </c>
      <c r="J277">
        <v>0</v>
      </c>
      <c r="K277">
        <v>0</v>
      </c>
      <c r="L277" t="s">
        <v>332</v>
      </c>
      <c r="M277" t="s">
        <v>332</v>
      </c>
      <c r="N277">
        <v>0</v>
      </c>
      <c r="P277" t="s">
        <v>591</v>
      </c>
    </row>
    <row r="278" spans="1:16" x14ac:dyDescent="0.25">
      <c r="A278">
        <v>70</v>
      </c>
      <c r="B278">
        <v>1</v>
      </c>
      <c r="D278">
        <v>8</v>
      </c>
      <c r="E278" t="s">
        <v>592</v>
      </c>
      <c r="F278" t="s">
        <v>593</v>
      </c>
      <c r="G278">
        <v>1</v>
      </c>
      <c r="H278">
        <v>0</v>
      </c>
      <c r="I278" t="s">
        <v>332</v>
      </c>
      <c r="J278">
        <v>5</v>
      </c>
      <c r="K278">
        <v>0</v>
      </c>
      <c r="L278" t="s">
        <v>332</v>
      </c>
      <c r="M278" t="s">
        <v>332</v>
      </c>
      <c r="N278">
        <v>0</v>
      </c>
      <c r="P278" t="s">
        <v>332</v>
      </c>
    </row>
    <row r="279" spans="1:16" x14ac:dyDescent="0.25">
      <c r="A279">
        <v>70</v>
      </c>
      <c r="B279">
        <v>1</v>
      </c>
      <c r="D279">
        <v>9</v>
      </c>
      <c r="E279" t="s">
        <v>594</v>
      </c>
      <c r="F279" t="s">
        <v>595</v>
      </c>
      <c r="G279">
        <v>0</v>
      </c>
      <c r="H279">
        <v>0</v>
      </c>
      <c r="I279" t="s">
        <v>332</v>
      </c>
      <c r="J279">
        <v>5</v>
      </c>
      <c r="K279">
        <v>0</v>
      </c>
      <c r="L279" t="s">
        <v>332</v>
      </c>
      <c r="M279" t="s">
        <v>332</v>
      </c>
      <c r="N279">
        <v>0</v>
      </c>
      <c r="P279" t="s">
        <v>596</v>
      </c>
    </row>
    <row r="280" spans="1:16" x14ac:dyDescent="0.25">
      <c r="A280">
        <v>70</v>
      </c>
      <c r="B280">
        <v>1</v>
      </c>
      <c r="D280">
        <v>10</v>
      </c>
      <c r="E280" t="s">
        <v>597</v>
      </c>
      <c r="F280" t="s">
        <v>598</v>
      </c>
      <c r="G280">
        <v>0</v>
      </c>
      <c r="H280">
        <v>0</v>
      </c>
      <c r="I280" t="s">
        <v>599</v>
      </c>
      <c r="J280">
        <v>5</v>
      </c>
      <c r="K280">
        <v>0</v>
      </c>
      <c r="L280" t="s">
        <v>332</v>
      </c>
      <c r="M280" t="s">
        <v>332</v>
      </c>
      <c r="N280">
        <v>0</v>
      </c>
      <c r="P280" t="s">
        <v>600</v>
      </c>
    </row>
    <row r="281" spans="1:16" x14ac:dyDescent="0.25">
      <c r="A281">
        <v>70</v>
      </c>
      <c r="B281">
        <v>1</v>
      </c>
      <c r="D281">
        <v>11</v>
      </c>
      <c r="E281" t="s">
        <v>601</v>
      </c>
      <c r="F281" t="s">
        <v>602</v>
      </c>
      <c r="G281">
        <v>0</v>
      </c>
      <c r="H281">
        <v>0</v>
      </c>
      <c r="I281" t="s">
        <v>603</v>
      </c>
      <c r="J281">
        <v>0</v>
      </c>
      <c r="K281">
        <v>0</v>
      </c>
      <c r="L281" t="s">
        <v>332</v>
      </c>
      <c r="M281" t="s">
        <v>332</v>
      </c>
      <c r="N281">
        <v>0</v>
      </c>
      <c r="P281" t="s">
        <v>604</v>
      </c>
    </row>
    <row r="282" spans="1:16" x14ac:dyDescent="0.25">
      <c r="A282">
        <v>70</v>
      </c>
      <c r="B282">
        <v>1</v>
      </c>
      <c r="D282">
        <v>12</v>
      </c>
      <c r="E282" t="s">
        <v>605</v>
      </c>
      <c r="F282" t="s">
        <v>606</v>
      </c>
      <c r="G282">
        <v>0</v>
      </c>
      <c r="H282">
        <v>0</v>
      </c>
      <c r="I282" t="s">
        <v>607</v>
      </c>
      <c r="J282">
        <v>0</v>
      </c>
      <c r="K282">
        <v>0</v>
      </c>
      <c r="L282" t="s">
        <v>332</v>
      </c>
      <c r="M282" t="s">
        <v>332</v>
      </c>
      <c r="N282">
        <v>0</v>
      </c>
      <c r="P282" t="s">
        <v>608</v>
      </c>
    </row>
    <row r="283" spans="1:16" x14ac:dyDescent="0.25">
      <c r="A283">
        <v>70</v>
      </c>
      <c r="B283">
        <v>1</v>
      </c>
      <c r="D283">
        <v>13</v>
      </c>
      <c r="E283" t="s">
        <v>609</v>
      </c>
      <c r="F283" t="s">
        <v>610</v>
      </c>
      <c r="G283">
        <v>0</v>
      </c>
      <c r="H283">
        <v>0</v>
      </c>
      <c r="I283" t="s">
        <v>611</v>
      </c>
      <c r="J283">
        <v>0</v>
      </c>
      <c r="K283">
        <v>0</v>
      </c>
      <c r="L283" t="s">
        <v>332</v>
      </c>
      <c r="M283" t="s">
        <v>332</v>
      </c>
      <c r="N283">
        <v>0</v>
      </c>
      <c r="P283" t="s">
        <v>612</v>
      </c>
    </row>
    <row r="284" spans="1:16" x14ac:dyDescent="0.25">
      <c r="A284">
        <v>70</v>
      </c>
      <c r="B284">
        <v>1</v>
      </c>
      <c r="D284">
        <v>14</v>
      </c>
      <c r="E284" t="s">
        <v>613</v>
      </c>
      <c r="F284" t="s">
        <v>614</v>
      </c>
      <c r="G284">
        <v>0</v>
      </c>
      <c r="H284">
        <v>0</v>
      </c>
      <c r="I284" t="s">
        <v>332</v>
      </c>
      <c r="J284">
        <v>0</v>
      </c>
      <c r="K284">
        <v>0</v>
      </c>
      <c r="L284" t="s">
        <v>332</v>
      </c>
      <c r="M284" t="s">
        <v>332</v>
      </c>
      <c r="N284">
        <v>0</v>
      </c>
      <c r="P284" t="s">
        <v>332</v>
      </c>
    </row>
    <row r="285" spans="1:16" x14ac:dyDescent="0.25">
      <c r="A285">
        <v>70</v>
      </c>
      <c r="B285">
        <v>1</v>
      </c>
      <c r="D285">
        <v>15</v>
      </c>
      <c r="E285" t="s">
        <v>615</v>
      </c>
      <c r="F285" t="s">
        <v>616</v>
      </c>
      <c r="G285">
        <v>0</v>
      </c>
      <c r="H285">
        <v>0</v>
      </c>
      <c r="I285" t="s">
        <v>332</v>
      </c>
      <c r="J285">
        <v>0</v>
      </c>
      <c r="K285">
        <v>0</v>
      </c>
      <c r="L285" t="s">
        <v>332</v>
      </c>
      <c r="M285" t="s">
        <v>332</v>
      </c>
      <c r="N285">
        <v>0</v>
      </c>
      <c r="P285" t="s">
        <v>617</v>
      </c>
    </row>
    <row r="286" spans="1:16" x14ac:dyDescent="0.25">
      <c r="A286">
        <v>70</v>
      </c>
      <c r="B286">
        <v>1</v>
      </c>
      <c r="D286">
        <v>16</v>
      </c>
      <c r="E286" t="s">
        <v>618</v>
      </c>
      <c r="F286" t="s">
        <v>619</v>
      </c>
      <c r="G286">
        <v>0</v>
      </c>
      <c r="H286">
        <v>0</v>
      </c>
      <c r="I286" t="s">
        <v>332</v>
      </c>
      <c r="J286">
        <v>3</v>
      </c>
      <c r="K286">
        <v>0</v>
      </c>
      <c r="L286" t="s">
        <v>332</v>
      </c>
      <c r="M286" t="s">
        <v>332</v>
      </c>
      <c r="N286">
        <v>0</v>
      </c>
      <c r="P286" t="s">
        <v>332</v>
      </c>
    </row>
    <row r="287" spans="1:16" x14ac:dyDescent="0.25">
      <c r="A287">
        <v>70</v>
      </c>
      <c r="B287">
        <v>1</v>
      </c>
      <c r="D287">
        <v>17</v>
      </c>
      <c r="E287" t="s">
        <v>620</v>
      </c>
      <c r="F287" t="s">
        <v>621</v>
      </c>
      <c r="G287">
        <v>1</v>
      </c>
      <c r="H287">
        <v>0</v>
      </c>
      <c r="I287" t="s">
        <v>332</v>
      </c>
      <c r="J287">
        <v>3</v>
      </c>
      <c r="K287">
        <v>0</v>
      </c>
      <c r="L287" t="s">
        <v>332</v>
      </c>
      <c r="M287" t="s">
        <v>332</v>
      </c>
      <c r="N287">
        <v>0</v>
      </c>
      <c r="P287" t="s">
        <v>332</v>
      </c>
    </row>
    <row r="288" spans="1:16" x14ac:dyDescent="0.25">
      <c r="A288">
        <v>70</v>
      </c>
      <c r="B288">
        <v>1</v>
      </c>
      <c r="D288">
        <v>1</v>
      </c>
      <c r="E288" t="s">
        <v>622</v>
      </c>
      <c r="F288" t="s">
        <v>623</v>
      </c>
      <c r="G288">
        <v>0.9</v>
      </c>
      <c r="H288">
        <v>1</v>
      </c>
      <c r="I288" t="s">
        <v>624</v>
      </c>
      <c r="J288">
        <v>0</v>
      </c>
      <c r="K288">
        <v>0</v>
      </c>
      <c r="L288" t="s">
        <v>332</v>
      </c>
      <c r="M288" t="s">
        <v>332</v>
      </c>
      <c r="N288">
        <v>0</v>
      </c>
      <c r="P288" t="s">
        <v>625</v>
      </c>
    </row>
    <row r="289" spans="1:50" x14ac:dyDescent="0.25">
      <c r="A289">
        <v>70</v>
      </c>
      <c r="B289">
        <v>1</v>
      </c>
      <c r="D289">
        <v>2</v>
      </c>
      <c r="E289" t="s">
        <v>626</v>
      </c>
      <c r="F289" t="s">
        <v>627</v>
      </c>
      <c r="G289">
        <v>0.85</v>
      </c>
      <c r="H289">
        <v>1</v>
      </c>
      <c r="I289" t="s">
        <v>628</v>
      </c>
      <c r="J289">
        <v>0</v>
      </c>
      <c r="K289">
        <v>0</v>
      </c>
      <c r="L289" t="s">
        <v>332</v>
      </c>
      <c r="M289" t="s">
        <v>332</v>
      </c>
      <c r="N289">
        <v>0</v>
      </c>
      <c r="P289" t="s">
        <v>629</v>
      </c>
    </row>
    <row r="290" spans="1:50" x14ac:dyDescent="0.25">
      <c r="A290">
        <v>70</v>
      </c>
      <c r="B290">
        <v>1</v>
      </c>
      <c r="D290">
        <v>3</v>
      </c>
      <c r="E290" t="s">
        <v>630</v>
      </c>
      <c r="F290" t="s">
        <v>631</v>
      </c>
      <c r="G290">
        <v>1.03</v>
      </c>
      <c r="H290">
        <v>0</v>
      </c>
      <c r="I290" t="s">
        <v>332</v>
      </c>
      <c r="J290">
        <v>0</v>
      </c>
      <c r="K290">
        <v>0</v>
      </c>
      <c r="L290" t="s">
        <v>332</v>
      </c>
      <c r="M290" t="s">
        <v>332</v>
      </c>
      <c r="N290">
        <v>0</v>
      </c>
      <c r="P290" t="s">
        <v>632</v>
      </c>
    </row>
    <row r="291" spans="1:50" x14ac:dyDescent="0.25">
      <c r="A291">
        <v>70</v>
      </c>
      <c r="B291">
        <v>1</v>
      </c>
      <c r="D291">
        <v>4</v>
      </c>
      <c r="E291" t="s">
        <v>633</v>
      </c>
      <c r="F291" t="s">
        <v>634</v>
      </c>
      <c r="G291">
        <v>1.1499999999999999</v>
      </c>
      <c r="H291">
        <v>0</v>
      </c>
      <c r="I291" t="s">
        <v>332</v>
      </c>
      <c r="J291">
        <v>0</v>
      </c>
      <c r="K291">
        <v>0</v>
      </c>
      <c r="L291" t="s">
        <v>332</v>
      </c>
      <c r="M291" t="s">
        <v>332</v>
      </c>
      <c r="N291">
        <v>0</v>
      </c>
      <c r="P291" t="s">
        <v>635</v>
      </c>
    </row>
    <row r="292" spans="1:50" x14ac:dyDescent="0.25">
      <c r="A292">
        <v>70</v>
      </c>
      <c r="B292">
        <v>1</v>
      </c>
      <c r="D292">
        <v>5</v>
      </c>
      <c r="E292" t="s">
        <v>636</v>
      </c>
      <c r="F292" t="s">
        <v>637</v>
      </c>
      <c r="G292">
        <v>7</v>
      </c>
      <c r="H292">
        <v>0</v>
      </c>
      <c r="I292" t="s">
        <v>332</v>
      </c>
      <c r="J292">
        <v>0</v>
      </c>
      <c r="K292">
        <v>0</v>
      </c>
      <c r="L292" t="s">
        <v>332</v>
      </c>
      <c r="M292" t="s">
        <v>332</v>
      </c>
      <c r="N292">
        <v>0</v>
      </c>
      <c r="P292" t="s">
        <v>332</v>
      </c>
    </row>
    <row r="293" spans="1:50" x14ac:dyDescent="0.25">
      <c r="A293">
        <v>70</v>
      </c>
      <c r="B293">
        <v>1</v>
      </c>
      <c r="D293">
        <v>6</v>
      </c>
      <c r="E293" t="s">
        <v>638</v>
      </c>
      <c r="F293" t="s">
        <v>332</v>
      </c>
      <c r="G293">
        <v>2</v>
      </c>
      <c r="H293">
        <v>0</v>
      </c>
      <c r="I293" t="s">
        <v>332</v>
      </c>
      <c r="J293">
        <v>0</v>
      </c>
      <c r="K293">
        <v>0</v>
      </c>
      <c r="L293" t="s">
        <v>332</v>
      </c>
      <c r="M293" t="s">
        <v>332</v>
      </c>
      <c r="N293">
        <v>0</v>
      </c>
      <c r="P293" t="s">
        <v>332</v>
      </c>
    </row>
    <row r="295" spans="1:50" x14ac:dyDescent="0.25">
      <c r="A295">
        <v>-1</v>
      </c>
    </row>
    <row r="297" spans="1:50" x14ac:dyDescent="0.25">
      <c r="A297" s="5">
        <v>75</v>
      </c>
      <c r="B297" s="5" t="s">
        <v>639</v>
      </c>
      <c r="C297" s="5">
        <v>2026</v>
      </c>
      <c r="D297" s="5">
        <v>1</v>
      </c>
      <c r="E297" s="5">
        <v>0</v>
      </c>
      <c r="F297" s="5">
        <v>1</v>
      </c>
      <c r="G297" s="5">
        <v>0</v>
      </c>
      <c r="H297" s="5">
        <v>1</v>
      </c>
      <c r="I297" s="5">
        <v>0</v>
      </c>
      <c r="J297" s="5">
        <v>3</v>
      </c>
      <c r="K297" s="5">
        <v>0</v>
      </c>
      <c r="L297" s="5">
        <v>0</v>
      </c>
      <c r="M297" s="5">
        <v>0</v>
      </c>
      <c r="N297" s="5">
        <v>78397139</v>
      </c>
      <c r="O297" s="5">
        <v>1</v>
      </c>
    </row>
    <row r="298" spans="1:50" x14ac:dyDescent="0.25">
      <c r="A298" s="6">
        <v>2</v>
      </c>
      <c r="B298" s="6" t="s">
        <v>640</v>
      </c>
      <c r="C298" s="6" t="s">
        <v>641</v>
      </c>
      <c r="D298" s="6">
        <v>0</v>
      </c>
      <c r="E298" s="6">
        <v>0</v>
      </c>
      <c r="F298" s="6">
        <v>0</v>
      </c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>
        <v>78397140</v>
      </c>
    </row>
    <row r="299" spans="1:50" x14ac:dyDescent="0.25">
      <c r="A299" s="6">
        <v>1</v>
      </c>
      <c r="B299" s="6" t="s">
        <v>642</v>
      </c>
      <c r="C299" s="6" t="s">
        <v>643</v>
      </c>
      <c r="D299" s="6">
        <v>2026</v>
      </c>
      <c r="E299" s="6">
        <v>3</v>
      </c>
      <c r="F299" s="6">
        <v>1</v>
      </c>
      <c r="G299" s="6">
        <v>1</v>
      </c>
      <c r="H299" s="6">
        <v>0</v>
      </c>
      <c r="I299" s="6">
        <v>2</v>
      </c>
      <c r="J299" s="6">
        <v>1</v>
      </c>
      <c r="K299" s="6">
        <v>1</v>
      </c>
      <c r="L299" s="6">
        <v>1</v>
      </c>
      <c r="M299" s="6">
        <v>1</v>
      </c>
      <c r="N299" s="6">
        <v>1</v>
      </c>
      <c r="O299" s="6">
        <v>1</v>
      </c>
      <c r="P299" s="6">
        <v>1</v>
      </c>
      <c r="Q299" s="6">
        <v>1</v>
      </c>
      <c r="R299" s="6" t="s">
        <v>332</v>
      </c>
      <c r="S299" s="6" t="s">
        <v>332</v>
      </c>
      <c r="T299" s="6" t="s">
        <v>332</v>
      </c>
      <c r="U299" s="6" t="s">
        <v>332</v>
      </c>
      <c r="V299" s="6" t="s">
        <v>332</v>
      </c>
      <c r="W299" s="6" t="s">
        <v>332</v>
      </c>
      <c r="X299" s="6" t="s">
        <v>332</v>
      </c>
      <c r="Y299" s="6" t="s">
        <v>332</v>
      </c>
      <c r="Z299" s="6" t="s">
        <v>332</v>
      </c>
      <c r="AA299" s="6" t="s">
        <v>332</v>
      </c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>
        <v>78397141</v>
      </c>
      <c r="AO299" s="6" t="s">
        <v>644</v>
      </c>
      <c r="AP299" s="6" t="s">
        <v>645</v>
      </c>
      <c r="AQ299" s="6">
        <v>46078</v>
      </c>
      <c r="AR299" s="6">
        <v>409</v>
      </c>
      <c r="AS299" s="6" t="s">
        <v>8</v>
      </c>
      <c r="AT299" s="6" t="s">
        <v>332</v>
      </c>
      <c r="AU299" s="6" t="s">
        <v>645</v>
      </c>
      <c r="AV299" s="6">
        <v>45957</v>
      </c>
      <c r="AW299" s="6">
        <v>23615</v>
      </c>
      <c r="AX299" s="6" t="s">
        <v>10</v>
      </c>
    </row>
    <row r="303" spans="1:50" x14ac:dyDescent="0.25">
      <c r="A303">
        <v>65</v>
      </c>
      <c r="C303">
        <v>1</v>
      </c>
      <c r="D303">
        <v>0</v>
      </c>
      <c r="E303">
        <v>245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6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329</v>
      </c>
      <c r="D1" t="s">
        <v>646</v>
      </c>
      <c r="F1">
        <v>0</v>
      </c>
      <c r="G1">
        <v>0</v>
      </c>
      <c r="H1">
        <v>0</v>
      </c>
      <c r="I1" t="s">
        <v>331</v>
      </c>
      <c r="J1" t="s">
        <v>332</v>
      </c>
      <c r="K1">
        <v>1</v>
      </c>
      <c r="L1">
        <v>72597</v>
      </c>
      <c r="M1">
        <v>63736869</v>
      </c>
      <c r="N1">
        <v>12</v>
      </c>
      <c r="O1">
        <v>0</v>
      </c>
      <c r="P1">
        <v>0</v>
      </c>
      <c r="Q1">
        <v>3</v>
      </c>
    </row>
    <row r="12" spans="1:133" x14ac:dyDescent="0.25">
      <c r="A12" s="1">
        <v>1</v>
      </c>
      <c r="B12" s="1">
        <v>54</v>
      </c>
      <c r="C12" s="1">
        <v>0</v>
      </c>
      <c r="D12" s="1"/>
      <c r="E12" s="1">
        <v>0</v>
      </c>
      <c r="F12" s="1" t="s">
        <v>332</v>
      </c>
      <c r="G12" s="1" t="s">
        <v>333</v>
      </c>
      <c r="H12" s="1" t="s">
        <v>332</v>
      </c>
      <c r="I12" s="1">
        <v>0</v>
      </c>
      <c r="J12" s="1" t="s">
        <v>332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332</v>
      </c>
      <c r="V12" s="1">
        <v>0</v>
      </c>
      <c r="W12" s="1" t="s">
        <v>332</v>
      </c>
      <c r="X12" s="1" t="s">
        <v>332</v>
      </c>
      <c r="Y12" s="1" t="s">
        <v>332</v>
      </c>
      <c r="Z12" s="1" t="s">
        <v>332</v>
      </c>
      <c r="AA12" s="1" t="s">
        <v>332</v>
      </c>
      <c r="AB12" s="1" t="s">
        <v>332</v>
      </c>
      <c r="AC12" s="1" t="s">
        <v>332</v>
      </c>
      <c r="AD12" s="1" t="s">
        <v>332</v>
      </c>
      <c r="AE12" s="1" t="s">
        <v>332</v>
      </c>
      <c r="AF12" s="1" t="s">
        <v>332</v>
      </c>
      <c r="AG12" s="1" t="s">
        <v>332</v>
      </c>
      <c r="AH12" s="1" t="s">
        <v>332</v>
      </c>
      <c r="AI12" s="1" t="s">
        <v>332</v>
      </c>
      <c r="AJ12" s="1" t="s">
        <v>332</v>
      </c>
      <c r="AK12" s="1"/>
      <c r="AL12" s="1" t="s">
        <v>332</v>
      </c>
      <c r="AM12" s="1" t="s">
        <v>332</v>
      </c>
      <c r="AN12" s="1" t="s">
        <v>332</v>
      </c>
      <c r="AO12" s="1"/>
      <c r="AP12" s="1" t="s">
        <v>332</v>
      </c>
      <c r="AQ12" s="1" t="s">
        <v>332</v>
      </c>
      <c r="AR12" s="1" t="s">
        <v>332</v>
      </c>
      <c r="AS12" s="1"/>
      <c r="AT12" s="1"/>
      <c r="AU12" s="1"/>
      <c r="AV12" s="1"/>
      <c r="AW12" s="1"/>
      <c r="AX12" s="1" t="s">
        <v>332</v>
      </c>
      <c r="AY12" s="1" t="s">
        <v>332</v>
      </c>
      <c r="AZ12" s="1" t="s">
        <v>332</v>
      </c>
      <c r="BA12" s="1"/>
      <c r="BB12" s="1">
        <v>0</v>
      </c>
      <c r="BC12" s="1"/>
      <c r="BD12" s="1"/>
      <c r="BE12" s="1"/>
      <c r="BF12" s="1"/>
      <c r="BG12" s="1"/>
      <c r="BH12" s="1" t="s">
        <v>334</v>
      </c>
      <c r="BI12" s="1" t="s">
        <v>335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1</v>
      </c>
      <c r="BU12" s="1">
        <v>0</v>
      </c>
      <c r="BV12" s="1">
        <v>1</v>
      </c>
      <c r="BW12" s="1">
        <v>1</v>
      </c>
      <c r="BX12" s="1">
        <v>0</v>
      </c>
      <c r="BY12" s="1" t="s">
        <v>336</v>
      </c>
      <c r="BZ12" s="1" t="s">
        <v>337</v>
      </c>
      <c r="CA12" s="1" t="s">
        <v>338</v>
      </c>
      <c r="CB12" s="1" t="s">
        <v>338</v>
      </c>
      <c r="CC12" s="1" t="s">
        <v>338</v>
      </c>
      <c r="CD12" s="1" t="s">
        <v>338</v>
      </c>
      <c r="CE12" s="1" t="s">
        <v>339</v>
      </c>
      <c r="CF12" s="1">
        <v>0</v>
      </c>
      <c r="CG12" s="1">
        <v>0</v>
      </c>
      <c r="CH12" s="1">
        <v>487096328</v>
      </c>
      <c r="CI12" s="1" t="s">
        <v>332</v>
      </c>
      <c r="CJ12" s="1" t="s">
        <v>332</v>
      </c>
      <c r="CK12" s="1">
        <v>17</v>
      </c>
      <c r="CL12" s="1"/>
      <c r="CM12" s="1"/>
      <c r="CN12" s="1"/>
      <c r="CO12" s="1"/>
      <c r="CP12" s="1"/>
      <c r="CQ12" s="1" t="s">
        <v>340</v>
      </c>
      <c r="CR12" s="1" t="s">
        <v>341</v>
      </c>
      <c r="CS12" s="1">
        <v>46073</v>
      </c>
      <c r="CT12" s="1">
        <v>540</v>
      </c>
      <c r="CU12" s="1">
        <v>17</v>
      </c>
      <c r="CV12" s="1" t="s">
        <v>342</v>
      </c>
      <c r="CW12" s="1"/>
      <c r="CX12" s="1"/>
      <c r="CY12" s="1">
        <v>0</v>
      </c>
      <c r="CZ12" s="1" t="s">
        <v>332</v>
      </c>
      <c r="DA12" s="1" t="s">
        <v>332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5">
      <c r="A14" s="1">
        <v>22</v>
      </c>
      <c r="B14" s="1">
        <v>1</v>
      </c>
      <c r="C14" s="1">
        <v>0</v>
      </c>
      <c r="D14" s="1">
        <v>78397139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5">
      <c r="A16" s="2">
        <v>3</v>
      </c>
      <c r="B16" s="2">
        <v>1</v>
      </c>
      <c r="C16" s="2" t="s">
        <v>332</v>
      </c>
      <c r="D16" s="2" t="s">
        <v>333</v>
      </c>
      <c r="E16" s="3">
        <f>ROUND((Source!F224)/1000,2)</f>
        <v>113.69</v>
      </c>
      <c r="F16" s="3">
        <f>ROUND((Source!F225)/1000,2)</f>
        <v>0</v>
      </c>
      <c r="G16" s="3">
        <f>ROUND((Source!F216)/1000,2)</f>
        <v>0</v>
      </c>
      <c r="H16" s="3">
        <f>ROUND((Source!F226)/1000+(Source!F227)/1000,2)</f>
        <v>0</v>
      </c>
      <c r="I16" s="3">
        <f>E16+F16+G16+H16</f>
        <v>113.69</v>
      </c>
      <c r="J16" s="3">
        <f>ROUND((Source!F222+Source!F221)/1000,2)</f>
        <v>25.96</v>
      </c>
      <c r="K16" s="3">
        <v>122.46</v>
      </c>
      <c r="L16" s="3">
        <v>0</v>
      </c>
      <c r="M16" s="3">
        <v>0</v>
      </c>
      <c r="N16" s="3">
        <f>I16+L16+M16</f>
        <v>113.69</v>
      </c>
      <c r="AI16" s="2">
        <v>0</v>
      </c>
      <c r="AJ16" s="2">
        <v>0</v>
      </c>
      <c r="AK16" s="2" t="s">
        <v>332</v>
      </c>
      <c r="AL16" s="2" t="s">
        <v>332</v>
      </c>
      <c r="AM16" s="2" t="s">
        <v>332</v>
      </c>
      <c r="AN16" s="2">
        <v>0</v>
      </c>
      <c r="AO16" s="2" t="s">
        <v>332</v>
      </c>
      <c r="AP16" s="2" t="s">
        <v>332</v>
      </c>
      <c r="AT16" s="3">
        <v>74559.789999999994</v>
      </c>
      <c r="AU16" s="3">
        <v>48161</v>
      </c>
      <c r="AV16" s="3">
        <v>0</v>
      </c>
      <c r="AW16" s="3">
        <v>0</v>
      </c>
      <c r="AX16" s="3">
        <v>0</v>
      </c>
      <c r="AY16" s="3">
        <v>174.26</v>
      </c>
      <c r="AZ16" s="3">
        <v>146.59</v>
      </c>
      <c r="BA16" s="3">
        <v>25817.48</v>
      </c>
      <c r="BB16" s="3">
        <v>113692.82</v>
      </c>
      <c r="BC16" s="3">
        <v>0</v>
      </c>
      <c r="BD16" s="3">
        <v>0</v>
      </c>
      <c r="BE16" s="3">
        <v>0</v>
      </c>
      <c r="BF16" s="3">
        <v>37.318728100000001</v>
      </c>
      <c r="BG16" s="3">
        <v>0.2046172</v>
      </c>
      <c r="BH16" s="3">
        <v>0</v>
      </c>
      <c r="BI16" s="3">
        <v>26064.2</v>
      </c>
      <c r="BJ16" s="3">
        <v>13068.83</v>
      </c>
      <c r="BK16" s="3">
        <v>113692.82</v>
      </c>
    </row>
    <row r="18" spans="1:16" x14ac:dyDescent="0.25">
      <c r="A18">
        <v>51</v>
      </c>
      <c r="E18">
        <v>113.69</v>
      </c>
      <c r="F18">
        <v>0</v>
      </c>
      <c r="G18">
        <v>0</v>
      </c>
      <c r="H18">
        <v>0</v>
      </c>
      <c r="I18">
        <v>113.69</v>
      </c>
      <c r="J18">
        <v>25.96</v>
      </c>
      <c r="K18">
        <v>122.46</v>
      </c>
      <c r="L18">
        <v>0</v>
      </c>
      <c r="M18">
        <v>0</v>
      </c>
      <c r="N18">
        <v>113.69</v>
      </c>
    </row>
    <row r="20" spans="1:16" x14ac:dyDescent="0.25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74559.789999999994</v>
      </c>
      <c r="G20" s="4" t="s">
        <v>422</v>
      </c>
      <c r="H20" s="4" t="s">
        <v>423</v>
      </c>
      <c r="I20" s="4"/>
      <c r="J20" s="4"/>
      <c r="K20" s="4">
        <v>201</v>
      </c>
      <c r="L20" s="4">
        <v>1</v>
      </c>
      <c r="M20" s="4">
        <v>3</v>
      </c>
      <c r="N20" s="4" t="s">
        <v>332</v>
      </c>
      <c r="O20" s="4">
        <v>2</v>
      </c>
      <c r="P20" s="4"/>
    </row>
    <row r="21" spans="1:16" x14ac:dyDescent="0.25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48161</v>
      </c>
      <c r="G21" s="4" t="s">
        <v>424</v>
      </c>
      <c r="H21" s="4" t="s">
        <v>425</v>
      </c>
      <c r="I21" s="4"/>
      <c r="J21" s="4"/>
      <c r="K21" s="4">
        <v>202</v>
      </c>
      <c r="L21" s="4">
        <v>2</v>
      </c>
      <c r="M21" s="4">
        <v>3</v>
      </c>
      <c r="N21" s="4" t="s">
        <v>332</v>
      </c>
      <c r="O21" s="4">
        <v>2</v>
      </c>
      <c r="P21" s="4"/>
    </row>
    <row r="22" spans="1:16" x14ac:dyDescent="0.25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426</v>
      </c>
      <c r="H22" s="4" t="s">
        <v>427</v>
      </c>
      <c r="I22" s="4"/>
      <c r="J22" s="4"/>
      <c r="K22" s="4">
        <v>222</v>
      </c>
      <c r="L22" s="4">
        <v>3</v>
      </c>
      <c r="M22" s="4">
        <v>3</v>
      </c>
      <c r="N22" s="4" t="s">
        <v>332</v>
      </c>
      <c r="O22" s="4">
        <v>2</v>
      </c>
      <c r="P22" s="4"/>
    </row>
    <row r="23" spans="1:16" x14ac:dyDescent="0.25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48161</v>
      </c>
      <c r="G23" s="4" t="s">
        <v>428</v>
      </c>
      <c r="H23" s="4" t="s">
        <v>429</v>
      </c>
      <c r="I23" s="4"/>
      <c r="J23" s="4"/>
      <c r="K23" s="4">
        <v>225</v>
      </c>
      <c r="L23" s="4">
        <v>4</v>
      </c>
      <c r="M23" s="4">
        <v>3</v>
      </c>
      <c r="N23" s="4" t="s">
        <v>332</v>
      </c>
      <c r="O23" s="4">
        <v>2</v>
      </c>
      <c r="P23" s="4"/>
    </row>
    <row r="24" spans="1:16" x14ac:dyDescent="0.25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48161</v>
      </c>
      <c r="G24" s="4" t="s">
        <v>430</v>
      </c>
      <c r="H24" s="4" t="s">
        <v>431</v>
      </c>
      <c r="I24" s="4"/>
      <c r="J24" s="4"/>
      <c r="K24" s="4">
        <v>226</v>
      </c>
      <c r="L24" s="4">
        <v>5</v>
      </c>
      <c r="M24" s="4">
        <v>3</v>
      </c>
      <c r="N24" s="4" t="s">
        <v>332</v>
      </c>
      <c r="O24" s="4">
        <v>2</v>
      </c>
      <c r="P24" s="4"/>
    </row>
    <row r="25" spans="1:16" x14ac:dyDescent="0.25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432</v>
      </c>
      <c r="H25" s="4" t="s">
        <v>433</v>
      </c>
      <c r="I25" s="4"/>
      <c r="J25" s="4"/>
      <c r="K25" s="4">
        <v>227</v>
      </c>
      <c r="L25" s="4">
        <v>6</v>
      </c>
      <c r="M25" s="4">
        <v>3</v>
      </c>
      <c r="N25" s="4" t="s">
        <v>332</v>
      </c>
      <c r="O25" s="4">
        <v>2</v>
      </c>
      <c r="P25" s="4"/>
    </row>
    <row r="26" spans="1:16" x14ac:dyDescent="0.25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48161</v>
      </c>
      <c r="G26" s="4" t="s">
        <v>434</v>
      </c>
      <c r="H26" s="4" t="s">
        <v>435</v>
      </c>
      <c r="I26" s="4"/>
      <c r="J26" s="4"/>
      <c r="K26" s="4">
        <v>228</v>
      </c>
      <c r="L26" s="4">
        <v>7</v>
      </c>
      <c r="M26" s="4">
        <v>3</v>
      </c>
      <c r="N26" s="4" t="s">
        <v>332</v>
      </c>
      <c r="O26" s="4">
        <v>2</v>
      </c>
      <c r="P26" s="4"/>
    </row>
    <row r="27" spans="1:16" x14ac:dyDescent="0.25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436</v>
      </c>
      <c r="H27" s="4" t="s">
        <v>437</v>
      </c>
      <c r="I27" s="4"/>
      <c r="J27" s="4"/>
      <c r="K27" s="4">
        <v>216</v>
      </c>
      <c r="L27" s="4">
        <v>8</v>
      </c>
      <c r="M27" s="4">
        <v>3</v>
      </c>
      <c r="N27" s="4" t="s">
        <v>332</v>
      </c>
      <c r="O27" s="4">
        <v>2</v>
      </c>
      <c r="P27" s="4"/>
    </row>
    <row r="28" spans="1:16" x14ac:dyDescent="0.25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438</v>
      </c>
      <c r="H28" s="4" t="s">
        <v>439</v>
      </c>
      <c r="I28" s="4"/>
      <c r="J28" s="4"/>
      <c r="K28" s="4">
        <v>223</v>
      </c>
      <c r="L28" s="4">
        <v>9</v>
      </c>
      <c r="M28" s="4">
        <v>3</v>
      </c>
      <c r="N28" s="4" t="s">
        <v>332</v>
      </c>
      <c r="O28" s="4">
        <v>2</v>
      </c>
      <c r="P28" s="4"/>
    </row>
    <row r="29" spans="1:16" x14ac:dyDescent="0.25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440</v>
      </c>
      <c r="H29" s="4" t="s">
        <v>441</v>
      </c>
      <c r="I29" s="4"/>
      <c r="J29" s="4"/>
      <c r="K29" s="4">
        <v>229</v>
      </c>
      <c r="L29" s="4">
        <v>10</v>
      </c>
      <c r="M29" s="4">
        <v>3</v>
      </c>
      <c r="N29" s="4" t="s">
        <v>332</v>
      </c>
      <c r="O29" s="4">
        <v>2</v>
      </c>
      <c r="P29" s="4"/>
    </row>
    <row r="30" spans="1:16" x14ac:dyDescent="0.25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174.26</v>
      </c>
      <c r="G30" s="4" t="s">
        <v>442</v>
      </c>
      <c r="H30" s="4" t="s">
        <v>443</v>
      </c>
      <c r="I30" s="4"/>
      <c r="J30" s="4"/>
      <c r="K30" s="4">
        <v>203</v>
      </c>
      <c r="L30" s="4">
        <v>11</v>
      </c>
      <c r="M30" s="4">
        <v>3</v>
      </c>
      <c r="N30" s="4" t="s">
        <v>332</v>
      </c>
      <c r="O30" s="4">
        <v>2</v>
      </c>
      <c r="P30" s="4"/>
    </row>
    <row r="31" spans="1:16" x14ac:dyDescent="0.25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444</v>
      </c>
      <c r="H31" s="4" t="s">
        <v>445</v>
      </c>
      <c r="I31" s="4"/>
      <c r="J31" s="4"/>
      <c r="K31" s="4">
        <v>231</v>
      </c>
      <c r="L31" s="4">
        <v>12</v>
      </c>
      <c r="M31" s="4">
        <v>3</v>
      </c>
      <c r="N31" s="4" t="s">
        <v>332</v>
      </c>
      <c r="O31" s="4">
        <v>2</v>
      </c>
      <c r="P31" s="4"/>
    </row>
    <row r="32" spans="1:16" x14ac:dyDescent="0.25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146.59</v>
      </c>
      <c r="G32" s="4" t="s">
        <v>446</v>
      </c>
      <c r="H32" s="4" t="s">
        <v>447</v>
      </c>
      <c r="I32" s="4"/>
      <c r="J32" s="4"/>
      <c r="K32" s="4">
        <v>204</v>
      </c>
      <c r="L32" s="4">
        <v>13</v>
      </c>
      <c r="M32" s="4">
        <v>3</v>
      </c>
      <c r="N32" s="4" t="s">
        <v>332</v>
      </c>
      <c r="O32" s="4">
        <v>2</v>
      </c>
      <c r="P32" s="4"/>
    </row>
    <row r="33" spans="1:16" x14ac:dyDescent="0.25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25817.48</v>
      </c>
      <c r="G33" s="4" t="s">
        <v>448</v>
      </c>
      <c r="H33" s="4" t="s">
        <v>449</v>
      </c>
      <c r="I33" s="4"/>
      <c r="J33" s="4"/>
      <c r="K33" s="4">
        <v>205</v>
      </c>
      <c r="L33" s="4">
        <v>14</v>
      </c>
      <c r="M33" s="4">
        <v>3</v>
      </c>
      <c r="N33" s="4" t="s">
        <v>332</v>
      </c>
      <c r="O33" s="4">
        <v>2</v>
      </c>
      <c r="P33" s="4"/>
    </row>
    <row r="34" spans="1:16" x14ac:dyDescent="0.25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450</v>
      </c>
      <c r="H34" s="4" t="s">
        <v>451</v>
      </c>
      <c r="I34" s="4"/>
      <c r="J34" s="4"/>
      <c r="K34" s="4">
        <v>232</v>
      </c>
      <c r="L34" s="4">
        <v>15</v>
      </c>
      <c r="M34" s="4">
        <v>3</v>
      </c>
      <c r="N34" s="4" t="s">
        <v>332</v>
      </c>
      <c r="O34" s="4">
        <v>2</v>
      </c>
      <c r="P34" s="4"/>
    </row>
    <row r="35" spans="1:16" x14ac:dyDescent="0.25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113692.82</v>
      </c>
      <c r="G35" s="4" t="s">
        <v>452</v>
      </c>
      <c r="H35" s="4" t="s">
        <v>453</v>
      </c>
      <c r="I35" s="4"/>
      <c r="J35" s="4"/>
      <c r="K35" s="4">
        <v>214</v>
      </c>
      <c r="L35" s="4">
        <v>16</v>
      </c>
      <c r="M35" s="4">
        <v>3</v>
      </c>
      <c r="N35" s="4" t="s">
        <v>332</v>
      </c>
      <c r="O35" s="4">
        <v>2</v>
      </c>
      <c r="P35" s="4"/>
    </row>
    <row r="36" spans="1:16" x14ac:dyDescent="0.25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454</v>
      </c>
      <c r="H36" s="4" t="s">
        <v>455</v>
      </c>
      <c r="I36" s="4"/>
      <c r="J36" s="4"/>
      <c r="K36" s="4">
        <v>215</v>
      </c>
      <c r="L36" s="4">
        <v>17</v>
      </c>
      <c r="M36" s="4">
        <v>3</v>
      </c>
      <c r="N36" s="4" t="s">
        <v>332</v>
      </c>
      <c r="O36" s="4">
        <v>2</v>
      </c>
      <c r="P36" s="4"/>
    </row>
    <row r="37" spans="1:16" x14ac:dyDescent="0.25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456</v>
      </c>
      <c r="H37" s="4" t="s">
        <v>457</v>
      </c>
      <c r="I37" s="4"/>
      <c r="J37" s="4"/>
      <c r="K37" s="4">
        <v>217</v>
      </c>
      <c r="L37" s="4">
        <v>18</v>
      </c>
      <c r="M37" s="4">
        <v>3</v>
      </c>
      <c r="N37" s="4" t="s">
        <v>332</v>
      </c>
      <c r="O37" s="4">
        <v>2</v>
      </c>
      <c r="P37" s="4"/>
    </row>
    <row r="38" spans="1:16" x14ac:dyDescent="0.25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458</v>
      </c>
      <c r="H38" s="4" t="s">
        <v>459</v>
      </c>
      <c r="I38" s="4"/>
      <c r="J38" s="4"/>
      <c r="K38" s="4">
        <v>230</v>
      </c>
      <c r="L38" s="4">
        <v>19</v>
      </c>
      <c r="M38" s="4">
        <v>3</v>
      </c>
      <c r="N38" s="4" t="s">
        <v>332</v>
      </c>
      <c r="O38" s="4">
        <v>2</v>
      </c>
      <c r="P38" s="4"/>
    </row>
    <row r="39" spans="1:16" x14ac:dyDescent="0.25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460</v>
      </c>
      <c r="H39" s="4" t="s">
        <v>461</v>
      </c>
      <c r="I39" s="4"/>
      <c r="J39" s="4"/>
      <c r="K39" s="4">
        <v>206</v>
      </c>
      <c r="L39" s="4">
        <v>20</v>
      </c>
      <c r="M39" s="4">
        <v>3</v>
      </c>
      <c r="N39" s="4" t="s">
        <v>332</v>
      </c>
      <c r="O39" s="4">
        <v>2</v>
      </c>
      <c r="P39" s="4"/>
    </row>
    <row r="40" spans="1:16" x14ac:dyDescent="0.25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37.318728100000001</v>
      </c>
      <c r="G40" s="4" t="s">
        <v>462</v>
      </c>
      <c r="H40" s="4" t="s">
        <v>463</v>
      </c>
      <c r="I40" s="4"/>
      <c r="J40" s="4"/>
      <c r="K40" s="4">
        <v>207</v>
      </c>
      <c r="L40" s="4">
        <v>21</v>
      </c>
      <c r="M40" s="4">
        <v>3</v>
      </c>
      <c r="N40" s="4" t="s">
        <v>332</v>
      </c>
      <c r="O40" s="4">
        <v>-1</v>
      </c>
      <c r="P40" s="4"/>
    </row>
    <row r="41" spans="1:16" x14ac:dyDescent="0.25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0.2046172</v>
      </c>
      <c r="G41" s="4" t="s">
        <v>464</v>
      </c>
      <c r="H41" s="4" t="s">
        <v>465</v>
      </c>
      <c r="I41" s="4"/>
      <c r="J41" s="4"/>
      <c r="K41" s="4">
        <v>208</v>
      </c>
      <c r="L41" s="4">
        <v>22</v>
      </c>
      <c r="M41" s="4">
        <v>3</v>
      </c>
      <c r="N41" s="4" t="s">
        <v>332</v>
      </c>
      <c r="O41" s="4">
        <v>-1</v>
      </c>
      <c r="P41" s="4"/>
    </row>
    <row r="42" spans="1:16" x14ac:dyDescent="0.25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466</v>
      </c>
      <c r="H42" s="4" t="s">
        <v>467</v>
      </c>
      <c r="I42" s="4"/>
      <c r="J42" s="4"/>
      <c r="K42" s="4">
        <v>209</v>
      </c>
      <c r="L42" s="4">
        <v>23</v>
      </c>
      <c r="M42" s="4">
        <v>3</v>
      </c>
      <c r="N42" s="4" t="s">
        <v>332</v>
      </c>
      <c r="O42" s="4">
        <v>2</v>
      </c>
      <c r="P42" s="4"/>
    </row>
    <row r="43" spans="1:16" x14ac:dyDescent="0.25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260.45999999999998</v>
      </c>
      <c r="G43" s="4" t="s">
        <v>468</v>
      </c>
      <c r="H43" s="4" t="s">
        <v>469</v>
      </c>
      <c r="I43" s="4"/>
      <c r="J43" s="4"/>
      <c r="K43" s="4">
        <v>233</v>
      </c>
      <c r="L43" s="4">
        <v>24</v>
      </c>
      <c r="M43" s="4">
        <v>3</v>
      </c>
      <c r="N43" s="4" t="s">
        <v>332</v>
      </c>
      <c r="O43" s="4">
        <v>2</v>
      </c>
      <c r="P43" s="4"/>
    </row>
    <row r="44" spans="1:16" x14ac:dyDescent="0.25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26064.2</v>
      </c>
      <c r="G44" s="4" t="s">
        <v>470</v>
      </c>
      <c r="H44" s="4" t="s">
        <v>471</v>
      </c>
      <c r="I44" s="4"/>
      <c r="J44" s="4"/>
      <c r="K44" s="4">
        <v>210</v>
      </c>
      <c r="L44" s="4">
        <v>25</v>
      </c>
      <c r="M44" s="4">
        <v>3</v>
      </c>
      <c r="N44" s="4" t="s">
        <v>332</v>
      </c>
      <c r="O44" s="4">
        <v>2</v>
      </c>
      <c r="P44" s="4"/>
    </row>
    <row r="45" spans="1:16" x14ac:dyDescent="0.25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13068.83</v>
      </c>
      <c r="G45" s="4" t="s">
        <v>472</v>
      </c>
      <c r="H45" s="4" t="s">
        <v>473</v>
      </c>
      <c r="I45" s="4"/>
      <c r="J45" s="4"/>
      <c r="K45" s="4">
        <v>211</v>
      </c>
      <c r="L45" s="4">
        <v>26</v>
      </c>
      <c r="M45" s="4">
        <v>3</v>
      </c>
      <c r="N45" s="4" t="s">
        <v>332</v>
      </c>
      <c r="O45" s="4">
        <v>2</v>
      </c>
      <c r="P45" s="4"/>
    </row>
    <row r="46" spans="1:16" x14ac:dyDescent="0.25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113692.82</v>
      </c>
      <c r="G46" s="4" t="s">
        <v>474</v>
      </c>
      <c r="H46" s="4" t="s">
        <v>475</v>
      </c>
      <c r="I46" s="4"/>
      <c r="J46" s="4"/>
      <c r="K46" s="4">
        <v>224</v>
      </c>
      <c r="L46" s="4">
        <v>27</v>
      </c>
      <c r="M46" s="4">
        <v>3</v>
      </c>
      <c r="N46" s="4" t="s">
        <v>332</v>
      </c>
      <c r="O46" s="4">
        <v>2</v>
      </c>
      <c r="P46" s="4"/>
    </row>
    <row r="47" spans="1:16" x14ac:dyDescent="0.25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113692.82</v>
      </c>
      <c r="G47" s="4" t="s">
        <v>567</v>
      </c>
      <c r="H47" s="4" t="s">
        <v>568</v>
      </c>
      <c r="I47" s="4"/>
      <c r="J47" s="4"/>
      <c r="K47" s="4">
        <v>212</v>
      </c>
      <c r="L47" s="4">
        <v>28</v>
      </c>
      <c r="M47" s="4">
        <v>0</v>
      </c>
      <c r="N47" s="4" t="s">
        <v>332</v>
      </c>
      <c r="O47" s="4">
        <v>2</v>
      </c>
      <c r="P47" s="4"/>
    </row>
    <row r="48" spans="1:16" x14ac:dyDescent="0.25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25012.42</v>
      </c>
      <c r="G48" s="4" t="s">
        <v>569</v>
      </c>
      <c r="H48" s="4" t="s">
        <v>570</v>
      </c>
      <c r="I48" s="4"/>
      <c r="J48" s="4"/>
      <c r="K48" s="4">
        <v>212</v>
      </c>
      <c r="L48" s="4">
        <v>29</v>
      </c>
      <c r="M48" s="4">
        <v>0</v>
      </c>
      <c r="N48" s="4" t="s">
        <v>332</v>
      </c>
      <c r="O48" s="4">
        <v>2</v>
      </c>
      <c r="P48" s="4"/>
    </row>
    <row r="49" spans="1:50" x14ac:dyDescent="0.25">
      <c r="A49" s="4">
        <v>50</v>
      </c>
      <c r="B49" s="4">
        <v>1</v>
      </c>
      <c r="C49" s="4">
        <v>0</v>
      </c>
      <c r="D49" s="4">
        <v>2</v>
      </c>
      <c r="E49" s="4">
        <v>213</v>
      </c>
      <c r="F49" s="4">
        <v>138705.24</v>
      </c>
      <c r="G49" s="4" t="s">
        <v>571</v>
      </c>
      <c r="H49" s="4" t="s">
        <v>572</v>
      </c>
      <c r="I49" s="4"/>
      <c r="J49" s="4"/>
      <c r="K49" s="4">
        <v>212</v>
      </c>
      <c r="L49" s="4">
        <v>30</v>
      </c>
      <c r="M49" s="4">
        <v>0</v>
      </c>
      <c r="N49" s="4" t="s">
        <v>332</v>
      </c>
      <c r="O49" s="4">
        <v>2</v>
      </c>
      <c r="P49" s="4"/>
    </row>
    <row r="51" spans="1:50" x14ac:dyDescent="0.25">
      <c r="A51">
        <v>-1</v>
      </c>
    </row>
    <row r="54" spans="1:50" x14ac:dyDescent="0.25">
      <c r="A54" s="5">
        <v>75</v>
      </c>
      <c r="B54" s="5" t="s">
        <v>639</v>
      </c>
      <c r="C54" s="5">
        <v>2026</v>
      </c>
      <c r="D54" s="5">
        <v>1</v>
      </c>
      <c r="E54" s="5">
        <v>0</v>
      </c>
      <c r="F54" s="5">
        <v>1</v>
      </c>
      <c r="G54" s="5">
        <v>0</v>
      </c>
      <c r="H54" s="5">
        <v>1</v>
      </c>
      <c r="I54" s="5">
        <v>0</v>
      </c>
      <c r="J54" s="5">
        <v>3</v>
      </c>
      <c r="K54" s="5">
        <v>0</v>
      </c>
      <c r="L54" s="5">
        <v>0</v>
      </c>
      <c r="M54" s="5">
        <v>0</v>
      </c>
      <c r="N54" s="5">
        <v>78397139</v>
      </c>
      <c r="O54" s="5">
        <v>1</v>
      </c>
    </row>
    <row r="55" spans="1:50" x14ac:dyDescent="0.25">
      <c r="A55" s="6">
        <v>2</v>
      </c>
      <c r="B55" s="6" t="s">
        <v>640</v>
      </c>
      <c r="C55" s="6" t="s">
        <v>641</v>
      </c>
      <c r="D55" s="6">
        <v>0</v>
      </c>
      <c r="E55" s="6">
        <v>0</v>
      </c>
      <c r="F55" s="6">
        <v>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>
        <v>78397140</v>
      </c>
    </row>
    <row r="56" spans="1:50" x14ac:dyDescent="0.25">
      <c r="A56" s="6">
        <v>1</v>
      </c>
      <c r="B56" s="6" t="s">
        <v>642</v>
      </c>
      <c r="C56" s="6" t="s">
        <v>643</v>
      </c>
      <c r="D56" s="6">
        <v>2026</v>
      </c>
      <c r="E56" s="6">
        <v>3</v>
      </c>
      <c r="F56" s="6">
        <v>1</v>
      </c>
      <c r="G56" s="6">
        <v>1</v>
      </c>
      <c r="H56" s="6">
        <v>0</v>
      </c>
      <c r="I56" s="6">
        <v>2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 t="s">
        <v>332</v>
      </c>
      <c r="S56" s="6" t="s">
        <v>332</v>
      </c>
      <c r="T56" s="6" t="s">
        <v>332</v>
      </c>
      <c r="U56" s="6" t="s">
        <v>332</v>
      </c>
      <c r="V56" s="6" t="s">
        <v>332</v>
      </c>
      <c r="W56" s="6" t="s">
        <v>332</v>
      </c>
      <c r="X56" s="6" t="s">
        <v>332</v>
      </c>
      <c r="Y56" s="6" t="s">
        <v>332</v>
      </c>
      <c r="Z56" s="6" t="s">
        <v>332</v>
      </c>
      <c r="AA56" s="6" t="s">
        <v>332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>
        <v>78397141</v>
      </c>
      <c r="AO56" s="6" t="s">
        <v>644</v>
      </c>
      <c r="AP56" s="6" t="s">
        <v>645</v>
      </c>
      <c r="AQ56" s="6">
        <v>46078</v>
      </c>
      <c r="AR56" s="6">
        <v>409</v>
      </c>
      <c r="AS56" s="6" t="s">
        <v>8</v>
      </c>
      <c r="AT56" s="6" t="s">
        <v>332</v>
      </c>
      <c r="AU56" s="6" t="s">
        <v>645</v>
      </c>
      <c r="AV56" s="6">
        <v>45957</v>
      </c>
      <c r="AW56" s="6">
        <v>23615</v>
      </c>
      <c r="AX56" s="6" t="s">
        <v>10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56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19" x14ac:dyDescent="0.25">
      <c r="A1">
        <f>ROW(Source!A28)</f>
        <v>28</v>
      </c>
      <c r="B1">
        <v>78397139</v>
      </c>
      <c r="C1">
        <v>78397493</v>
      </c>
      <c r="D1">
        <v>28074705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332</v>
      </c>
      <c r="K1" t="s">
        <v>54</v>
      </c>
      <c r="L1">
        <v>1191</v>
      </c>
      <c r="N1">
        <v>1013</v>
      </c>
      <c r="O1" t="s">
        <v>31</v>
      </c>
      <c r="P1" t="s">
        <v>31</v>
      </c>
      <c r="Q1">
        <v>1</v>
      </c>
      <c r="W1">
        <v>0</v>
      </c>
      <c r="X1">
        <v>-715079457</v>
      </c>
      <c r="Y1">
        <f t="shared" ref="Y1:Y24" si="0">AT1</f>
        <v>69.28</v>
      </c>
      <c r="AA1">
        <v>0</v>
      </c>
      <c r="AB1">
        <v>0</v>
      </c>
      <c r="AC1">
        <v>0</v>
      </c>
      <c r="AD1">
        <v>681.63</v>
      </c>
      <c r="AE1">
        <v>0</v>
      </c>
      <c r="AF1">
        <v>0</v>
      </c>
      <c r="AG1">
        <v>0</v>
      </c>
      <c r="AH1">
        <v>681.63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332</v>
      </c>
      <c r="AT1">
        <v>69.28</v>
      </c>
      <c r="AU1" t="s">
        <v>332</v>
      </c>
      <c r="AV1">
        <v>1</v>
      </c>
      <c r="AW1">
        <v>2</v>
      </c>
      <c r="AX1">
        <v>78397499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47223.326399999998</v>
      </c>
      <c r="BN1">
        <v>69.28</v>
      </c>
      <c r="BO1">
        <v>0</v>
      </c>
      <c r="BP1">
        <v>1</v>
      </c>
      <c r="BQ1">
        <v>0</v>
      </c>
      <c r="BR1">
        <v>0</v>
      </c>
      <c r="BS1">
        <v>0</v>
      </c>
      <c r="BT1">
        <v>47223.326399999998</v>
      </c>
      <c r="BU1">
        <v>69.28</v>
      </c>
      <c r="BV1">
        <v>0</v>
      </c>
      <c r="BW1">
        <v>1</v>
      </c>
      <c r="CU1">
        <f>ROUND(AT1*Source!I28*AH1*AL1,2)</f>
        <v>944.47</v>
      </c>
      <c r="CV1">
        <f>ROUND(Y1*Source!I28,7)</f>
        <v>1.3855999999999999</v>
      </c>
      <c r="CW1">
        <v>0</v>
      </c>
      <c r="CX1">
        <f>ROUND(Y1*Source!I28,7)</f>
        <v>1.3855999999999999</v>
      </c>
      <c r="CY1">
        <f>AD1</f>
        <v>681.63</v>
      </c>
      <c r="CZ1">
        <f>AH1</f>
        <v>681.63</v>
      </c>
      <c r="DA1">
        <f>AL1</f>
        <v>1</v>
      </c>
      <c r="DB1">
        <f t="shared" ref="DB1:DB24" si="1">ROUND(ROUND(AT1*CZ1,2),6)</f>
        <v>47223.33</v>
      </c>
      <c r="DC1">
        <f t="shared" ref="DC1:DC24" si="2">ROUND(ROUND(AT1*AG1,2),6)</f>
        <v>0</v>
      </c>
      <c r="DD1" t="s">
        <v>332</v>
      </c>
      <c r="DE1" t="s">
        <v>332</v>
      </c>
      <c r="DF1">
        <f>ROUND(ROUND(AE1,2)*CX1,2)</f>
        <v>0</v>
      </c>
      <c r="DG1">
        <f>ROUND(ROUND(AF1,2)*CX1,2)</f>
        <v>0</v>
      </c>
      <c r="DH1">
        <f t="shared" ref="DH1:DH32" si="3">ROUND(ROUND(AG1,2)*CX1,2)</f>
        <v>0</v>
      </c>
      <c r="DI1">
        <f t="shared" ref="DI1:DI32" si="4">ROUND(ROUND(AH1,2)*CX1,2)</f>
        <v>944.47</v>
      </c>
      <c r="DJ1">
        <f>DI1</f>
        <v>944.47</v>
      </c>
      <c r="DK1">
        <v>1</v>
      </c>
      <c r="DL1" t="s">
        <v>332</v>
      </c>
      <c r="DM1">
        <v>0</v>
      </c>
      <c r="DN1" t="s">
        <v>332</v>
      </c>
      <c r="DO1">
        <v>0</v>
      </c>
    </row>
    <row r="2" spans="1:119" x14ac:dyDescent="0.25">
      <c r="A2">
        <f>ROW(Source!A28)</f>
        <v>28</v>
      </c>
      <c r="B2">
        <v>78397139</v>
      </c>
      <c r="C2">
        <v>78397493</v>
      </c>
      <c r="D2">
        <v>28074654</v>
      </c>
      <c r="E2">
        <v>117</v>
      </c>
      <c r="F2">
        <v>1</v>
      </c>
      <c r="G2">
        <v>1</v>
      </c>
      <c r="H2">
        <v>1</v>
      </c>
      <c r="I2" t="s">
        <v>647</v>
      </c>
      <c r="J2" t="s">
        <v>332</v>
      </c>
      <c r="K2" t="s">
        <v>648</v>
      </c>
      <c r="L2">
        <v>1191</v>
      </c>
      <c r="N2">
        <v>1013</v>
      </c>
      <c r="O2" t="s">
        <v>31</v>
      </c>
      <c r="P2" t="s">
        <v>31</v>
      </c>
      <c r="Q2">
        <v>1</v>
      </c>
      <c r="W2">
        <v>0</v>
      </c>
      <c r="X2">
        <v>-1417349443</v>
      </c>
      <c r="Y2">
        <f t="shared" si="0"/>
        <v>0.02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0</v>
      </c>
      <c r="AQ2">
        <v>1</v>
      </c>
      <c r="AR2">
        <v>0</v>
      </c>
      <c r="AS2" t="s">
        <v>332</v>
      </c>
      <c r="AT2">
        <v>0.02</v>
      </c>
      <c r="AU2" t="s">
        <v>332</v>
      </c>
      <c r="AV2">
        <v>2</v>
      </c>
      <c r="AW2">
        <v>2</v>
      </c>
      <c r="AX2">
        <v>78397500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4.0000000000000002E-4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332</v>
      </c>
      <c r="DE2" t="s">
        <v>332</v>
      </c>
      <c r="DF2">
        <f>ROUND(ROUND(AE2,2)*CX2,2)</f>
        <v>0</v>
      </c>
      <c r="DG2">
        <f>ROUND(ROUND(AF2,2)*CX2,2)</f>
        <v>0</v>
      </c>
      <c r="DH2">
        <f t="shared" si="3"/>
        <v>0</v>
      </c>
      <c r="DI2">
        <f t="shared" si="4"/>
        <v>0</v>
      </c>
      <c r="DJ2">
        <f>DI2</f>
        <v>0</v>
      </c>
      <c r="DK2">
        <v>0</v>
      </c>
      <c r="DL2" t="s">
        <v>332</v>
      </c>
      <c r="DM2">
        <v>0</v>
      </c>
      <c r="DN2" t="s">
        <v>332</v>
      </c>
      <c r="DO2">
        <v>0</v>
      </c>
    </row>
    <row r="3" spans="1:119" x14ac:dyDescent="0.25">
      <c r="A3">
        <f>ROW(Source!A28)</f>
        <v>28</v>
      </c>
      <c r="B3">
        <v>78397139</v>
      </c>
      <c r="C3">
        <v>78397493</v>
      </c>
      <c r="D3">
        <v>77430632</v>
      </c>
      <c r="E3">
        <v>1</v>
      </c>
      <c r="F3">
        <v>1</v>
      </c>
      <c r="G3">
        <v>1</v>
      </c>
      <c r="H3">
        <v>2</v>
      </c>
      <c r="I3" t="s">
        <v>57</v>
      </c>
      <c r="J3" t="s">
        <v>649</v>
      </c>
      <c r="K3" t="s">
        <v>58</v>
      </c>
      <c r="L3">
        <v>1368</v>
      </c>
      <c r="N3">
        <v>1011</v>
      </c>
      <c r="O3" t="s">
        <v>59</v>
      </c>
      <c r="P3" t="s">
        <v>59</v>
      </c>
      <c r="Q3">
        <v>1</v>
      </c>
      <c r="W3">
        <v>0</v>
      </c>
      <c r="X3">
        <v>945201097</v>
      </c>
      <c r="Y3">
        <f t="shared" si="0"/>
        <v>0.02</v>
      </c>
      <c r="AA3">
        <v>0</v>
      </c>
      <c r="AB3">
        <v>57.47</v>
      </c>
      <c r="AC3">
        <v>641.22</v>
      </c>
      <c r="AD3">
        <v>0</v>
      </c>
      <c r="AE3">
        <v>0</v>
      </c>
      <c r="AF3">
        <v>37.32</v>
      </c>
      <c r="AG3">
        <v>641.22</v>
      </c>
      <c r="AH3">
        <v>0</v>
      </c>
      <c r="AI3">
        <v>1</v>
      </c>
      <c r="AJ3">
        <v>1.54</v>
      </c>
      <c r="AK3">
        <v>1</v>
      </c>
      <c r="AL3">
        <v>1</v>
      </c>
      <c r="AM3">
        <v>2</v>
      </c>
      <c r="AN3">
        <v>0</v>
      </c>
      <c r="AO3">
        <v>0</v>
      </c>
      <c r="AP3">
        <v>0</v>
      </c>
      <c r="AQ3">
        <v>1</v>
      </c>
      <c r="AR3">
        <v>0</v>
      </c>
      <c r="AS3" t="s">
        <v>332</v>
      </c>
      <c r="AT3">
        <v>0.02</v>
      </c>
      <c r="AU3" t="s">
        <v>332</v>
      </c>
      <c r="AV3">
        <v>1</v>
      </c>
      <c r="AW3">
        <v>2</v>
      </c>
      <c r="AX3">
        <v>78397501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0.74639999999999995</v>
      </c>
      <c r="BL3">
        <v>12.824400000000001</v>
      </c>
      <c r="BM3">
        <v>0</v>
      </c>
      <c r="BN3">
        <v>0</v>
      </c>
      <c r="BO3">
        <v>0.02</v>
      </c>
      <c r="BP3">
        <v>1</v>
      </c>
      <c r="BQ3">
        <v>0</v>
      </c>
      <c r="BR3">
        <v>0.74639999999999995</v>
      </c>
      <c r="BS3">
        <v>12.824400000000001</v>
      </c>
      <c r="BT3">
        <v>0</v>
      </c>
      <c r="BU3">
        <v>0</v>
      </c>
      <c r="BV3">
        <v>0.02</v>
      </c>
      <c r="BW3">
        <v>1</v>
      </c>
      <c r="CV3">
        <v>0</v>
      </c>
      <c r="CW3">
        <f>ROUND(Y3*Source!I28*DO3,7)</f>
        <v>4.0000000000000002E-4</v>
      </c>
      <c r="CX3">
        <f>ROUND(Y3*Source!I28,7)</f>
        <v>4.0000000000000002E-4</v>
      </c>
      <c r="CY3">
        <f>AB3</f>
        <v>57.47</v>
      </c>
      <c r="CZ3">
        <f>AF3</f>
        <v>37.32</v>
      </c>
      <c r="DA3">
        <f>AJ3</f>
        <v>1.54</v>
      </c>
      <c r="DB3">
        <f t="shared" si="1"/>
        <v>0.75</v>
      </c>
      <c r="DC3">
        <f t="shared" si="2"/>
        <v>12.82</v>
      </c>
      <c r="DD3" t="s">
        <v>332</v>
      </c>
      <c r="DE3" t="s">
        <v>332</v>
      </c>
      <c r="DF3">
        <f>ROUND(ROUND(AE3,2)*CX3,2)</f>
        <v>0</v>
      </c>
      <c r="DG3">
        <f>ROUND(ROUND(AF3*AJ3,2)*CX3,2)</f>
        <v>0.02</v>
      </c>
      <c r="DH3">
        <f t="shared" si="3"/>
        <v>0.26</v>
      </c>
      <c r="DI3">
        <f t="shared" si="4"/>
        <v>0</v>
      </c>
      <c r="DJ3">
        <f>DG3+DH3</f>
        <v>0.28000000000000003</v>
      </c>
      <c r="DK3">
        <v>0</v>
      </c>
      <c r="DL3" t="s">
        <v>60</v>
      </c>
      <c r="DM3">
        <v>3</v>
      </c>
      <c r="DN3" t="s">
        <v>31</v>
      </c>
      <c r="DO3">
        <v>1</v>
      </c>
    </row>
    <row r="4" spans="1:119" x14ac:dyDescent="0.25">
      <c r="A4">
        <f>ROW(Source!A28)</f>
        <v>28</v>
      </c>
      <c r="B4">
        <v>78397139</v>
      </c>
      <c r="C4">
        <v>78397493</v>
      </c>
      <c r="D4">
        <v>77431339</v>
      </c>
      <c r="E4">
        <v>1</v>
      </c>
      <c r="F4">
        <v>1</v>
      </c>
      <c r="G4">
        <v>1</v>
      </c>
      <c r="H4">
        <v>2</v>
      </c>
      <c r="I4" t="s">
        <v>62</v>
      </c>
      <c r="J4" t="s">
        <v>650</v>
      </c>
      <c r="K4" t="s">
        <v>63</v>
      </c>
      <c r="L4">
        <v>1368</v>
      </c>
      <c r="N4">
        <v>1011</v>
      </c>
      <c r="O4" t="s">
        <v>59</v>
      </c>
      <c r="P4" t="s">
        <v>59</v>
      </c>
      <c r="Q4">
        <v>1</v>
      </c>
      <c r="W4">
        <v>0</v>
      </c>
      <c r="X4">
        <v>-849950259</v>
      </c>
      <c r="Y4">
        <f t="shared" si="0"/>
        <v>2E-3</v>
      </c>
      <c r="AA4">
        <v>0</v>
      </c>
      <c r="AB4">
        <v>643.29</v>
      </c>
      <c r="AC4">
        <v>722.05</v>
      </c>
      <c r="AD4">
        <v>0</v>
      </c>
      <c r="AE4">
        <v>0</v>
      </c>
      <c r="AF4">
        <v>643.29</v>
      </c>
      <c r="AG4">
        <v>722.05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0</v>
      </c>
      <c r="AQ4">
        <v>1</v>
      </c>
      <c r="AR4">
        <v>0</v>
      </c>
      <c r="AS4" t="s">
        <v>332</v>
      </c>
      <c r="AT4">
        <v>2E-3</v>
      </c>
      <c r="AU4" t="s">
        <v>332</v>
      </c>
      <c r="AV4">
        <v>1</v>
      </c>
      <c r="AW4">
        <v>2</v>
      </c>
      <c r="AX4">
        <v>78397502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1.2865800000000001</v>
      </c>
      <c r="BL4">
        <v>1.4440999999999999</v>
      </c>
      <c r="BM4">
        <v>0</v>
      </c>
      <c r="BN4">
        <v>0</v>
      </c>
      <c r="BO4">
        <v>2E-3</v>
      </c>
      <c r="BP4">
        <v>1</v>
      </c>
      <c r="BQ4">
        <v>0</v>
      </c>
      <c r="BR4">
        <v>1.2865800000000001</v>
      </c>
      <c r="BS4">
        <v>1.4440999999999999</v>
      </c>
      <c r="BT4">
        <v>0</v>
      </c>
      <c r="BU4">
        <v>0</v>
      </c>
      <c r="BV4">
        <v>2E-3</v>
      </c>
      <c r="BW4">
        <v>1</v>
      </c>
      <c r="CV4">
        <v>0</v>
      </c>
      <c r="CW4">
        <f>ROUND(Y4*Source!I28*DO4,7)</f>
        <v>4.0000000000000003E-5</v>
      </c>
      <c r="CX4">
        <f>ROUND(Y4*Source!I28,7)</f>
        <v>4.0000000000000003E-5</v>
      </c>
      <c r="CY4">
        <f>AB4</f>
        <v>643.29</v>
      </c>
      <c r="CZ4">
        <f>AF4</f>
        <v>643.29</v>
      </c>
      <c r="DA4">
        <f>AJ4</f>
        <v>1</v>
      </c>
      <c r="DB4">
        <f t="shared" si="1"/>
        <v>1.29</v>
      </c>
      <c r="DC4">
        <f t="shared" si="2"/>
        <v>1.44</v>
      </c>
      <c r="DD4" t="s">
        <v>332</v>
      </c>
      <c r="DE4" t="s">
        <v>332</v>
      </c>
      <c r="DF4">
        <f>ROUND(ROUND(AE4,2)*CX4,2)</f>
        <v>0</v>
      </c>
      <c r="DG4">
        <f t="shared" ref="DG4:DG14" si="5">ROUND(ROUND(AF4,2)*CX4,2)</f>
        <v>0.03</v>
      </c>
      <c r="DH4">
        <f t="shared" si="3"/>
        <v>0.03</v>
      </c>
      <c r="DI4">
        <f t="shared" si="4"/>
        <v>0</v>
      </c>
      <c r="DJ4">
        <f>DG4+DH4</f>
        <v>0.06</v>
      </c>
      <c r="DK4">
        <v>1</v>
      </c>
      <c r="DL4" t="s">
        <v>64</v>
      </c>
      <c r="DM4">
        <v>4</v>
      </c>
      <c r="DN4" t="s">
        <v>31</v>
      </c>
      <c r="DO4">
        <v>1</v>
      </c>
    </row>
    <row r="5" spans="1:119" x14ac:dyDescent="0.25">
      <c r="A5">
        <f>ROW(Source!A28)</f>
        <v>28</v>
      </c>
      <c r="B5">
        <v>78397139</v>
      </c>
      <c r="C5">
        <v>78397493</v>
      </c>
      <c r="D5">
        <v>77508024</v>
      </c>
      <c r="E5">
        <v>1</v>
      </c>
      <c r="F5">
        <v>1</v>
      </c>
      <c r="G5">
        <v>1</v>
      </c>
      <c r="H5">
        <v>3</v>
      </c>
      <c r="I5" t="s">
        <v>67</v>
      </c>
      <c r="J5" t="s">
        <v>353</v>
      </c>
      <c r="K5" t="s">
        <v>68</v>
      </c>
      <c r="L5">
        <v>1301</v>
      </c>
      <c r="N5">
        <v>1003</v>
      </c>
      <c r="O5" t="s">
        <v>69</v>
      </c>
      <c r="P5" t="s">
        <v>69</v>
      </c>
      <c r="Q5">
        <v>1</v>
      </c>
      <c r="W5">
        <v>0</v>
      </c>
      <c r="X5">
        <v>154173286</v>
      </c>
      <c r="Y5">
        <f t="shared" si="0"/>
        <v>1050</v>
      </c>
      <c r="AA5">
        <v>114.78</v>
      </c>
      <c r="AB5">
        <v>0</v>
      </c>
      <c r="AC5">
        <v>0</v>
      </c>
      <c r="AD5">
        <v>0</v>
      </c>
      <c r="AE5">
        <v>69.989999999999995</v>
      </c>
      <c r="AF5">
        <v>0</v>
      </c>
      <c r="AG5">
        <v>0</v>
      </c>
      <c r="AH5">
        <v>0</v>
      </c>
      <c r="AI5">
        <v>1.64</v>
      </c>
      <c r="AJ5">
        <v>1</v>
      </c>
      <c r="AK5">
        <v>1</v>
      </c>
      <c r="AL5">
        <v>1</v>
      </c>
      <c r="AM5">
        <v>2</v>
      </c>
      <c r="AN5">
        <v>0</v>
      </c>
      <c r="AO5">
        <v>0</v>
      </c>
      <c r="AP5">
        <v>0</v>
      </c>
      <c r="AQ5">
        <v>1</v>
      </c>
      <c r="AR5">
        <v>0</v>
      </c>
      <c r="AS5" t="s">
        <v>332</v>
      </c>
      <c r="AT5">
        <v>1050</v>
      </c>
      <c r="AU5" t="s">
        <v>332</v>
      </c>
      <c r="AV5">
        <v>0</v>
      </c>
      <c r="AW5">
        <v>2</v>
      </c>
      <c r="AX5">
        <v>78397503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73489.5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73489.5</v>
      </c>
      <c r="BR5">
        <v>0</v>
      </c>
      <c r="BS5">
        <v>0</v>
      </c>
      <c r="BT5">
        <v>0</v>
      </c>
      <c r="BU5">
        <v>0</v>
      </c>
      <c r="BV5">
        <v>0</v>
      </c>
      <c r="BW5">
        <v>1</v>
      </c>
      <c r="CV5">
        <v>0</v>
      </c>
      <c r="CW5">
        <v>0</v>
      </c>
      <c r="CX5">
        <f>ROUND(Y5*Source!I28,7)</f>
        <v>21</v>
      </c>
      <c r="CY5">
        <f>AA5</f>
        <v>114.78</v>
      </c>
      <c r="CZ5">
        <f>AE5</f>
        <v>69.989999999999995</v>
      </c>
      <c r="DA5">
        <f>AI5</f>
        <v>1.64</v>
      </c>
      <c r="DB5">
        <f t="shared" si="1"/>
        <v>73489.5</v>
      </c>
      <c r="DC5">
        <f t="shared" si="2"/>
        <v>0</v>
      </c>
      <c r="DD5" t="s">
        <v>332</v>
      </c>
      <c r="DE5" t="s">
        <v>332</v>
      </c>
      <c r="DF5">
        <f>ROUND(ROUND(AE5*AI5,2)*CX5,2)</f>
        <v>2410.38</v>
      </c>
      <c r="DG5">
        <f t="shared" si="5"/>
        <v>0</v>
      </c>
      <c r="DH5">
        <f t="shared" si="3"/>
        <v>0</v>
      </c>
      <c r="DI5">
        <f t="shared" si="4"/>
        <v>0</v>
      </c>
      <c r="DJ5">
        <f>DF5</f>
        <v>2410.38</v>
      </c>
      <c r="DK5">
        <v>0</v>
      </c>
      <c r="DL5" t="s">
        <v>332</v>
      </c>
      <c r="DM5">
        <v>0</v>
      </c>
      <c r="DN5" t="s">
        <v>332</v>
      </c>
      <c r="DO5">
        <v>0</v>
      </c>
    </row>
    <row r="6" spans="1:119" x14ac:dyDescent="0.25">
      <c r="A6">
        <f>ROW(Source!A30)</f>
        <v>30</v>
      </c>
      <c r="B6">
        <v>78397139</v>
      </c>
      <c r="C6">
        <v>78397506</v>
      </c>
      <c r="D6">
        <v>77423772</v>
      </c>
      <c r="E6">
        <v>117</v>
      </c>
      <c r="F6">
        <v>1</v>
      </c>
      <c r="G6">
        <v>1</v>
      </c>
      <c r="H6">
        <v>1</v>
      </c>
      <c r="I6" t="s">
        <v>53</v>
      </c>
      <c r="J6" t="s">
        <v>332</v>
      </c>
      <c r="K6" t="s">
        <v>54</v>
      </c>
      <c r="L6">
        <v>1191</v>
      </c>
      <c r="N6">
        <v>1013</v>
      </c>
      <c r="O6" t="s">
        <v>31</v>
      </c>
      <c r="P6" t="s">
        <v>31</v>
      </c>
      <c r="Q6">
        <v>1</v>
      </c>
      <c r="W6">
        <v>0</v>
      </c>
      <c r="X6">
        <v>-715079457</v>
      </c>
      <c r="Y6">
        <f t="shared" si="0"/>
        <v>308</v>
      </c>
      <c r="AA6">
        <v>0</v>
      </c>
      <c r="AB6">
        <v>0</v>
      </c>
      <c r="AC6">
        <v>0</v>
      </c>
      <c r="AD6">
        <v>681.63</v>
      </c>
      <c r="AE6">
        <v>0</v>
      </c>
      <c r="AF6">
        <v>0</v>
      </c>
      <c r="AG6">
        <v>0</v>
      </c>
      <c r="AH6">
        <v>681.63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0</v>
      </c>
      <c r="AQ6">
        <v>1</v>
      </c>
      <c r="AR6">
        <v>0</v>
      </c>
      <c r="AS6" t="s">
        <v>332</v>
      </c>
      <c r="AT6">
        <v>308</v>
      </c>
      <c r="AU6" t="s">
        <v>332</v>
      </c>
      <c r="AV6">
        <v>1</v>
      </c>
      <c r="AW6">
        <v>2</v>
      </c>
      <c r="AX6">
        <v>78397507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209942.04</v>
      </c>
      <c r="BN6">
        <v>308</v>
      </c>
      <c r="BO6">
        <v>0</v>
      </c>
      <c r="BP6">
        <v>1</v>
      </c>
      <c r="BQ6">
        <v>0</v>
      </c>
      <c r="BR6">
        <v>0</v>
      </c>
      <c r="BS6">
        <v>0</v>
      </c>
      <c r="BT6">
        <v>209942.04</v>
      </c>
      <c r="BU6">
        <v>308</v>
      </c>
      <c r="BV6">
        <v>0</v>
      </c>
      <c r="BW6">
        <v>1</v>
      </c>
      <c r="CU6">
        <f>ROUND(AT6*Source!I30*AH6*AL6,2)</f>
        <v>2099.42</v>
      </c>
      <c r="CV6">
        <f>ROUND(Y6*Source!I30,7)</f>
        <v>3.08</v>
      </c>
      <c r="CW6">
        <v>0</v>
      </c>
      <c r="CX6">
        <f>ROUND(Y6*Source!I30,7)</f>
        <v>3.08</v>
      </c>
      <c r="CY6">
        <f>AD6</f>
        <v>681.63</v>
      </c>
      <c r="CZ6">
        <f>AH6</f>
        <v>681.63</v>
      </c>
      <c r="DA6">
        <f>AL6</f>
        <v>1</v>
      </c>
      <c r="DB6">
        <f t="shared" si="1"/>
        <v>209942.04</v>
      </c>
      <c r="DC6">
        <f t="shared" si="2"/>
        <v>0</v>
      </c>
      <c r="DD6" t="s">
        <v>332</v>
      </c>
      <c r="DE6" t="s">
        <v>332</v>
      </c>
      <c r="DF6">
        <f>ROUND(ROUND(AE6,2)*CX6,2)</f>
        <v>0</v>
      </c>
      <c r="DG6">
        <f t="shared" si="5"/>
        <v>0</v>
      </c>
      <c r="DH6">
        <f t="shared" si="3"/>
        <v>0</v>
      </c>
      <c r="DI6">
        <f t="shared" si="4"/>
        <v>2099.42</v>
      </c>
      <c r="DJ6">
        <f>DI6</f>
        <v>2099.42</v>
      </c>
      <c r="DK6">
        <v>1</v>
      </c>
      <c r="DL6" t="s">
        <v>332</v>
      </c>
      <c r="DM6">
        <v>0</v>
      </c>
      <c r="DN6" t="s">
        <v>332</v>
      </c>
      <c r="DO6">
        <v>0</v>
      </c>
    </row>
    <row r="7" spans="1:119" x14ac:dyDescent="0.25">
      <c r="A7">
        <f>ROW(Source!A30)</f>
        <v>30</v>
      </c>
      <c r="B7">
        <v>78397139</v>
      </c>
      <c r="C7">
        <v>78397506</v>
      </c>
      <c r="D7">
        <v>77423956</v>
      </c>
      <c r="E7">
        <v>117</v>
      </c>
      <c r="F7">
        <v>1</v>
      </c>
      <c r="G7">
        <v>1</v>
      </c>
      <c r="H7">
        <v>1</v>
      </c>
      <c r="I7" t="s">
        <v>647</v>
      </c>
      <c r="J7" t="s">
        <v>332</v>
      </c>
      <c r="K7" t="s">
        <v>648</v>
      </c>
      <c r="L7">
        <v>1191</v>
      </c>
      <c r="N7">
        <v>1013</v>
      </c>
      <c r="O7" t="s">
        <v>31</v>
      </c>
      <c r="P7" t="s">
        <v>31</v>
      </c>
      <c r="Q7">
        <v>1</v>
      </c>
      <c r="W7">
        <v>0</v>
      </c>
      <c r="X7">
        <v>-1417349443</v>
      </c>
      <c r="Y7">
        <f t="shared" si="0"/>
        <v>4.2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0</v>
      </c>
      <c r="AQ7">
        <v>1</v>
      </c>
      <c r="AR7">
        <v>0</v>
      </c>
      <c r="AS7" t="s">
        <v>332</v>
      </c>
      <c r="AT7">
        <v>4.2</v>
      </c>
      <c r="AU7" t="s">
        <v>332</v>
      </c>
      <c r="AV7">
        <v>2</v>
      </c>
      <c r="AW7">
        <v>2</v>
      </c>
      <c r="AX7">
        <v>78397508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ROUND(Y7*Source!I30,7)</f>
        <v>4.2000000000000003E-2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332</v>
      </c>
      <c r="DE7" t="s">
        <v>332</v>
      </c>
      <c r="DF7">
        <f>ROUND(ROUND(AE7,2)*CX7,2)</f>
        <v>0</v>
      </c>
      <c r="DG7">
        <f t="shared" si="5"/>
        <v>0</v>
      </c>
      <c r="DH7">
        <f t="shared" si="3"/>
        <v>0</v>
      </c>
      <c r="DI7">
        <f t="shared" si="4"/>
        <v>0</v>
      </c>
      <c r="DJ7">
        <f>DI7</f>
        <v>0</v>
      </c>
      <c r="DK7">
        <v>0</v>
      </c>
      <c r="DL7" t="s">
        <v>332</v>
      </c>
      <c r="DM7">
        <v>0</v>
      </c>
      <c r="DN7" t="s">
        <v>332</v>
      </c>
      <c r="DO7">
        <v>0</v>
      </c>
    </row>
    <row r="8" spans="1:119" x14ac:dyDescent="0.25">
      <c r="A8">
        <f>ROW(Source!A30)</f>
        <v>30</v>
      </c>
      <c r="B8">
        <v>78397139</v>
      </c>
      <c r="C8">
        <v>78397506</v>
      </c>
      <c r="D8">
        <v>77431339</v>
      </c>
      <c r="E8">
        <v>1</v>
      </c>
      <c r="F8">
        <v>1</v>
      </c>
      <c r="G8">
        <v>1</v>
      </c>
      <c r="H8">
        <v>2</v>
      </c>
      <c r="I8" t="s">
        <v>62</v>
      </c>
      <c r="J8" t="s">
        <v>650</v>
      </c>
      <c r="K8" t="s">
        <v>63</v>
      </c>
      <c r="L8">
        <v>1368</v>
      </c>
      <c r="N8">
        <v>1011</v>
      </c>
      <c r="O8" t="s">
        <v>59</v>
      </c>
      <c r="P8" t="s">
        <v>59</v>
      </c>
      <c r="Q8">
        <v>1</v>
      </c>
      <c r="W8">
        <v>0</v>
      </c>
      <c r="X8">
        <v>-849950259</v>
      </c>
      <c r="Y8">
        <f t="shared" si="0"/>
        <v>4.2</v>
      </c>
      <c r="AA8">
        <v>0</v>
      </c>
      <c r="AB8">
        <v>643.29</v>
      </c>
      <c r="AC8">
        <v>722.05</v>
      </c>
      <c r="AD8">
        <v>0</v>
      </c>
      <c r="AE8">
        <v>0</v>
      </c>
      <c r="AF8">
        <v>643.29</v>
      </c>
      <c r="AG8">
        <v>722.05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0</v>
      </c>
      <c r="AQ8">
        <v>1</v>
      </c>
      <c r="AR8">
        <v>0</v>
      </c>
      <c r="AS8" t="s">
        <v>332</v>
      </c>
      <c r="AT8">
        <v>4.2</v>
      </c>
      <c r="AU8" t="s">
        <v>332</v>
      </c>
      <c r="AV8">
        <v>1</v>
      </c>
      <c r="AW8">
        <v>2</v>
      </c>
      <c r="AX8">
        <v>78397509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2701.8180000000002</v>
      </c>
      <c r="BL8">
        <v>3032.61</v>
      </c>
      <c r="BM8">
        <v>0</v>
      </c>
      <c r="BN8">
        <v>0</v>
      </c>
      <c r="BO8">
        <v>4.2</v>
      </c>
      <c r="BP8">
        <v>1</v>
      </c>
      <c r="BQ8">
        <v>0</v>
      </c>
      <c r="BR8">
        <v>2701.8180000000002</v>
      </c>
      <c r="BS8">
        <v>3032.61</v>
      </c>
      <c r="BT8">
        <v>0</v>
      </c>
      <c r="BU8">
        <v>0</v>
      </c>
      <c r="BV8">
        <v>4.2</v>
      </c>
      <c r="BW8">
        <v>1</v>
      </c>
      <c r="CV8">
        <v>0</v>
      </c>
      <c r="CW8">
        <f>ROUND(Y8*Source!I30*DO8,7)</f>
        <v>4.2000000000000003E-2</v>
      </c>
      <c r="CX8">
        <f>ROUND(Y8*Source!I30,7)</f>
        <v>4.2000000000000003E-2</v>
      </c>
      <c r="CY8">
        <f>AB8</f>
        <v>643.29</v>
      </c>
      <c r="CZ8">
        <f>AF8</f>
        <v>643.29</v>
      </c>
      <c r="DA8">
        <f>AJ8</f>
        <v>1</v>
      </c>
      <c r="DB8">
        <f t="shared" si="1"/>
        <v>2701.82</v>
      </c>
      <c r="DC8">
        <f t="shared" si="2"/>
        <v>3032.61</v>
      </c>
      <c r="DD8" t="s">
        <v>332</v>
      </c>
      <c r="DE8" t="s">
        <v>332</v>
      </c>
      <c r="DF8">
        <f>ROUND(ROUND(AE8,2)*CX8,2)</f>
        <v>0</v>
      </c>
      <c r="DG8">
        <f t="shared" si="5"/>
        <v>27.02</v>
      </c>
      <c r="DH8">
        <f t="shared" si="3"/>
        <v>30.33</v>
      </c>
      <c r="DI8">
        <f t="shared" si="4"/>
        <v>0</v>
      </c>
      <c r="DJ8">
        <f>DG8+DH8</f>
        <v>57.35</v>
      </c>
      <c r="DK8">
        <v>1</v>
      </c>
      <c r="DL8" t="s">
        <v>64</v>
      </c>
      <c r="DM8">
        <v>4</v>
      </c>
      <c r="DN8" t="s">
        <v>31</v>
      </c>
      <c r="DO8">
        <v>1</v>
      </c>
    </row>
    <row r="9" spans="1:119" x14ac:dyDescent="0.25">
      <c r="A9">
        <f>ROW(Source!A30)</f>
        <v>30</v>
      </c>
      <c r="B9">
        <v>78397139</v>
      </c>
      <c r="C9">
        <v>78397506</v>
      </c>
      <c r="D9">
        <v>77495882</v>
      </c>
      <c r="E9">
        <v>1</v>
      </c>
      <c r="F9">
        <v>1</v>
      </c>
      <c r="G9">
        <v>1</v>
      </c>
      <c r="H9">
        <v>3</v>
      </c>
      <c r="I9" t="s">
        <v>82</v>
      </c>
      <c r="J9" t="s">
        <v>651</v>
      </c>
      <c r="K9" t="s">
        <v>83</v>
      </c>
      <c r="L9">
        <v>1407</v>
      </c>
      <c r="N9">
        <v>1013</v>
      </c>
      <c r="O9" t="s">
        <v>84</v>
      </c>
      <c r="P9" t="s">
        <v>84</v>
      </c>
      <c r="Q9">
        <v>1</v>
      </c>
      <c r="W9">
        <v>0</v>
      </c>
      <c r="X9">
        <v>902029720</v>
      </c>
      <c r="Y9">
        <f t="shared" si="0"/>
        <v>0.2</v>
      </c>
      <c r="AA9">
        <v>16142.86</v>
      </c>
      <c r="AB9">
        <v>0</v>
      </c>
      <c r="AC9">
        <v>0</v>
      </c>
      <c r="AD9">
        <v>0</v>
      </c>
      <c r="AE9">
        <v>13680.39</v>
      </c>
      <c r="AF9">
        <v>0</v>
      </c>
      <c r="AG9">
        <v>0</v>
      </c>
      <c r="AH9">
        <v>0</v>
      </c>
      <c r="AI9">
        <v>1.18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0</v>
      </c>
      <c r="AQ9">
        <v>1</v>
      </c>
      <c r="AR9">
        <v>0</v>
      </c>
      <c r="AS9" t="s">
        <v>332</v>
      </c>
      <c r="AT9">
        <v>0.2</v>
      </c>
      <c r="AU9" t="s">
        <v>332</v>
      </c>
      <c r="AV9">
        <v>0</v>
      </c>
      <c r="AW9">
        <v>2</v>
      </c>
      <c r="AX9">
        <v>78397510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2736.078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2736.078</v>
      </c>
      <c r="BR9">
        <v>0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v>0</v>
      </c>
      <c r="CX9">
        <f>ROUND(Y9*Source!I30,7)</f>
        <v>2E-3</v>
      </c>
      <c r="CY9">
        <f>AA9</f>
        <v>16142.86</v>
      </c>
      <c r="CZ9">
        <f>AE9</f>
        <v>13680.39</v>
      </c>
      <c r="DA9">
        <f>AI9</f>
        <v>1.18</v>
      </c>
      <c r="DB9">
        <f t="shared" si="1"/>
        <v>2736.08</v>
      </c>
      <c r="DC9">
        <f t="shared" si="2"/>
        <v>0</v>
      </c>
      <c r="DD9" t="s">
        <v>332</v>
      </c>
      <c r="DE9" t="s">
        <v>332</v>
      </c>
      <c r="DF9">
        <f>ROUND(ROUND(AE9*AI9,2)*CX9,2)</f>
        <v>32.29</v>
      </c>
      <c r="DG9">
        <f t="shared" si="5"/>
        <v>0</v>
      </c>
      <c r="DH9">
        <f t="shared" si="3"/>
        <v>0</v>
      </c>
      <c r="DI9">
        <f t="shared" si="4"/>
        <v>0</v>
      </c>
      <c r="DJ9">
        <f>DF9</f>
        <v>32.29</v>
      </c>
      <c r="DK9">
        <v>0</v>
      </c>
      <c r="DL9" t="s">
        <v>332</v>
      </c>
      <c r="DM9">
        <v>0</v>
      </c>
      <c r="DN9" t="s">
        <v>332</v>
      </c>
      <c r="DO9">
        <v>0</v>
      </c>
    </row>
    <row r="10" spans="1:119" x14ac:dyDescent="0.25">
      <c r="A10">
        <f>ROW(Source!A30)</f>
        <v>30</v>
      </c>
      <c r="B10">
        <v>78397139</v>
      </c>
      <c r="C10">
        <v>78397506</v>
      </c>
      <c r="D10">
        <v>77499590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652</v>
      </c>
      <c r="K10" t="s">
        <v>86</v>
      </c>
      <c r="L10">
        <v>1348</v>
      </c>
      <c r="N10">
        <v>1009</v>
      </c>
      <c r="O10" t="s">
        <v>87</v>
      </c>
      <c r="P10" t="s">
        <v>87</v>
      </c>
      <c r="Q10">
        <v>1000</v>
      </c>
      <c r="W10">
        <v>0</v>
      </c>
      <c r="X10">
        <v>-1787662946</v>
      </c>
      <c r="Y10">
        <f t="shared" si="0"/>
        <v>0.21</v>
      </c>
      <c r="AA10">
        <v>165402</v>
      </c>
      <c r="AB10">
        <v>0</v>
      </c>
      <c r="AC10">
        <v>0</v>
      </c>
      <c r="AD10">
        <v>0</v>
      </c>
      <c r="AE10">
        <v>151744.95000000001</v>
      </c>
      <c r="AF10">
        <v>0</v>
      </c>
      <c r="AG10">
        <v>0</v>
      </c>
      <c r="AH10">
        <v>0</v>
      </c>
      <c r="AI10">
        <v>1.0900000000000001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0</v>
      </c>
      <c r="AQ10">
        <v>1</v>
      </c>
      <c r="AR10">
        <v>0</v>
      </c>
      <c r="AS10" t="s">
        <v>332</v>
      </c>
      <c r="AT10">
        <v>0.21</v>
      </c>
      <c r="AU10" t="s">
        <v>332</v>
      </c>
      <c r="AV10">
        <v>0</v>
      </c>
      <c r="AW10">
        <v>2</v>
      </c>
      <c r="AX10">
        <v>78397511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31866.4395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31866.4395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ROUND(Y10*Source!I30,7)</f>
        <v>2.0999999999999999E-3</v>
      </c>
      <c r="CY10">
        <f>AA10</f>
        <v>165402</v>
      </c>
      <c r="CZ10">
        <f>AE10</f>
        <v>151744.95000000001</v>
      </c>
      <c r="DA10">
        <f>AI10</f>
        <v>1.0900000000000001</v>
      </c>
      <c r="DB10">
        <f t="shared" si="1"/>
        <v>31866.44</v>
      </c>
      <c r="DC10">
        <f t="shared" si="2"/>
        <v>0</v>
      </c>
      <c r="DD10" t="s">
        <v>332</v>
      </c>
      <c r="DE10" t="s">
        <v>332</v>
      </c>
      <c r="DF10">
        <f>ROUND(ROUND(AE10*AI10,2)*CX10,2)</f>
        <v>347.34</v>
      </c>
      <c r="DG10">
        <f t="shared" si="5"/>
        <v>0</v>
      </c>
      <c r="DH10">
        <f t="shared" si="3"/>
        <v>0</v>
      </c>
      <c r="DI10">
        <f t="shared" si="4"/>
        <v>0</v>
      </c>
      <c r="DJ10">
        <f>DF10</f>
        <v>347.34</v>
      </c>
      <c r="DK10">
        <v>0</v>
      </c>
      <c r="DL10" t="s">
        <v>332</v>
      </c>
      <c r="DM10">
        <v>0</v>
      </c>
      <c r="DN10" t="s">
        <v>332</v>
      </c>
      <c r="DO10">
        <v>0</v>
      </c>
    </row>
    <row r="11" spans="1:119" x14ac:dyDescent="0.25">
      <c r="A11">
        <f>ROW(Source!A30)</f>
        <v>30</v>
      </c>
      <c r="B11">
        <v>78397139</v>
      </c>
      <c r="C11">
        <v>78397506</v>
      </c>
      <c r="D11">
        <v>77518422</v>
      </c>
      <c r="E11">
        <v>1</v>
      </c>
      <c r="F11">
        <v>1</v>
      </c>
      <c r="G11">
        <v>1</v>
      </c>
      <c r="H11">
        <v>3</v>
      </c>
      <c r="I11" t="s">
        <v>364</v>
      </c>
      <c r="J11" t="s">
        <v>367</v>
      </c>
      <c r="K11" t="s">
        <v>365</v>
      </c>
      <c r="L11">
        <v>1371</v>
      </c>
      <c r="N11">
        <v>1013</v>
      </c>
      <c r="O11" t="s">
        <v>366</v>
      </c>
      <c r="P11" t="s">
        <v>366</v>
      </c>
      <c r="Q11">
        <v>1</v>
      </c>
      <c r="W11">
        <v>0</v>
      </c>
      <c r="X11">
        <v>1359928159</v>
      </c>
      <c r="Y11">
        <f t="shared" si="0"/>
        <v>100</v>
      </c>
      <c r="AA11">
        <v>12434.52</v>
      </c>
      <c r="AB11">
        <v>0</v>
      </c>
      <c r="AC11">
        <v>0</v>
      </c>
      <c r="AD11">
        <v>0</v>
      </c>
      <c r="AE11">
        <v>9492</v>
      </c>
      <c r="AF11">
        <v>0</v>
      </c>
      <c r="AG11">
        <v>0</v>
      </c>
      <c r="AH11">
        <v>0</v>
      </c>
      <c r="AI11">
        <v>1.31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332</v>
      </c>
      <c r="AT11">
        <v>100</v>
      </c>
      <c r="AU11" t="s">
        <v>332</v>
      </c>
      <c r="AV11">
        <v>0</v>
      </c>
      <c r="AW11">
        <v>1</v>
      </c>
      <c r="AX11">
        <v>-1</v>
      </c>
      <c r="AY11">
        <v>0</v>
      </c>
      <c r="AZ11">
        <v>0</v>
      </c>
      <c r="BA11" t="s">
        <v>332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ROUND(Y11*Source!I30,7)</f>
        <v>1</v>
      </c>
      <c r="CY11">
        <f>AA11</f>
        <v>12434.52</v>
      </c>
      <c r="CZ11">
        <f>AE11</f>
        <v>9492</v>
      </c>
      <c r="DA11">
        <f>AI11</f>
        <v>1.31</v>
      </c>
      <c r="DB11">
        <f t="shared" si="1"/>
        <v>949200</v>
      </c>
      <c r="DC11">
        <f t="shared" si="2"/>
        <v>0</v>
      </c>
      <c r="DD11" t="s">
        <v>332</v>
      </c>
      <c r="DE11" t="s">
        <v>332</v>
      </c>
      <c r="DF11">
        <f>ROUND(ROUND(AE11*AI11,2)*CX11,2)</f>
        <v>12434.52</v>
      </c>
      <c r="DG11">
        <f t="shared" si="5"/>
        <v>0</v>
      </c>
      <c r="DH11">
        <f t="shared" si="3"/>
        <v>0</v>
      </c>
      <c r="DI11">
        <f t="shared" si="4"/>
        <v>0</v>
      </c>
      <c r="DJ11">
        <f>DF11</f>
        <v>12434.52</v>
      </c>
      <c r="DK11">
        <v>0</v>
      </c>
      <c r="DL11" t="s">
        <v>332</v>
      </c>
      <c r="DM11">
        <v>0</v>
      </c>
      <c r="DN11" t="s">
        <v>332</v>
      </c>
      <c r="DO11">
        <v>0</v>
      </c>
    </row>
    <row r="12" spans="1:119" x14ac:dyDescent="0.25">
      <c r="A12">
        <f>ROW(Source!A30)</f>
        <v>30</v>
      </c>
      <c r="B12">
        <v>78397139</v>
      </c>
      <c r="C12">
        <v>78397506</v>
      </c>
      <c r="D12">
        <v>77429794</v>
      </c>
      <c r="E12">
        <v>117</v>
      </c>
      <c r="F12">
        <v>1</v>
      </c>
      <c r="G12">
        <v>1</v>
      </c>
      <c r="H12">
        <v>3</v>
      </c>
      <c r="I12" t="s">
        <v>369</v>
      </c>
      <c r="J12" t="s">
        <v>332</v>
      </c>
      <c r="K12" t="s">
        <v>370</v>
      </c>
      <c r="L12">
        <v>1348</v>
      </c>
      <c r="N12">
        <v>1009</v>
      </c>
      <c r="O12" t="s">
        <v>87</v>
      </c>
      <c r="P12" t="s">
        <v>87</v>
      </c>
      <c r="Q12">
        <v>1000</v>
      </c>
      <c r="W12">
        <v>0</v>
      </c>
      <c r="X12">
        <v>-1296435862</v>
      </c>
      <c r="Y12">
        <f t="shared" si="0"/>
        <v>3.84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332</v>
      </c>
      <c r="AT12">
        <v>3.84</v>
      </c>
      <c r="AU12" t="s">
        <v>332</v>
      </c>
      <c r="AV12">
        <v>0</v>
      </c>
      <c r="AW12">
        <v>2</v>
      </c>
      <c r="AX12">
        <v>78397513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3.8399999999999997E-2</v>
      </c>
      <c r="CY12">
        <f>AA12</f>
        <v>0</v>
      </c>
      <c r="CZ12">
        <f>AE12</f>
        <v>0</v>
      </c>
      <c r="DA12">
        <f>AI12</f>
        <v>1</v>
      </c>
      <c r="DB12">
        <f t="shared" si="1"/>
        <v>0</v>
      </c>
      <c r="DC12">
        <f t="shared" si="2"/>
        <v>0</v>
      </c>
      <c r="DD12" t="s">
        <v>332</v>
      </c>
      <c r="DE12" t="s">
        <v>332</v>
      </c>
      <c r="DF12">
        <f t="shared" ref="DF12:DF18" si="6">ROUND(ROUND(AE12,2)*CX12,2)</f>
        <v>0</v>
      </c>
      <c r="DG12">
        <f t="shared" si="5"/>
        <v>0</v>
      </c>
      <c r="DH12">
        <f t="shared" si="3"/>
        <v>0</v>
      </c>
      <c r="DI12">
        <f t="shared" si="4"/>
        <v>0</v>
      </c>
      <c r="DJ12">
        <f>DF12</f>
        <v>0</v>
      </c>
      <c r="DK12">
        <v>0</v>
      </c>
      <c r="DL12" t="s">
        <v>332</v>
      </c>
      <c r="DM12">
        <v>0</v>
      </c>
      <c r="DN12" t="s">
        <v>332</v>
      </c>
      <c r="DO12">
        <v>0</v>
      </c>
    </row>
    <row r="13" spans="1:119" x14ac:dyDescent="0.25">
      <c r="A13">
        <f>ROW(Source!A33)</f>
        <v>33</v>
      </c>
      <c r="B13">
        <v>78397139</v>
      </c>
      <c r="C13">
        <v>78397521</v>
      </c>
      <c r="D13">
        <v>77423786</v>
      </c>
      <c r="E13">
        <v>117</v>
      </c>
      <c r="F13">
        <v>1</v>
      </c>
      <c r="G13">
        <v>1</v>
      </c>
      <c r="H13">
        <v>1</v>
      </c>
      <c r="I13" t="s">
        <v>96</v>
      </c>
      <c r="J13" t="s">
        <v>332</v>
      </c>
      <c r="K13" t="s">
        <v>97</v>
      </c>
      <c r="L13">
        <v>1191</v>
      </c>
      <c r="N13">
        <v>1013</v>
      </c>
      <c r="O13" t="s">
        <v>31</v>
      </c>
      <c r="P13" t="s">
        <v>31</v>
      </c>
      <c r="Q13">
        <v>1</v>
      </c>
      <c r="W13">
        <v>0</v>
      </c>
      <c r="X13">
        <v>888410196</v>
      </c>
      <c r="Y13">
        <f t="shared" si="0"/>
        <v>174.8</v>
      </c>
      <c r="AA13">
        <v>0</v>
      </c>
      <c r="AB13">
        <v>0</v>
      </c>
      <c r="AC13">
        <v>0</v>
      </c>
      <c r="AD13">
        <v>722.05</v>
      </c>
      <c r="AE13">
        <v>0</v>
      </c>
      <c r="AF13">
        <v>0</v>
      </c>
      <c r="AG13">
        <v>0</v>
      </c>
      <c r="AH13">
        <v>722.05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0</v>
      </c>
      <c r="AQ13">
        <v>1</v>
      </c>
      <c r="AR13">
        <v>0</v>
      </c>
      <c r="AS13" t="s">
        <v>332</v>
      </c>
      <c r="AT13">
        <v>174.8</v>
      </c>
      <c r="AU13" t="s">
        <v>332</v>
      </c>
      <c r="AV13">
        <v>1</v>
      </c>
      <c r="AW13">
        <v>2</v>
      </c>
      <c r="AX13">
        <v>78397522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126214.34</v>
      </c>
      <c r="BN13">
        <v>174.8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126214.34</v>
      </c>
      <c r="BU13">
        <v>174.8</v>
      </c>
      <c r="BV13">
        <v>0</v>
      </c>
      <c r="BW13">
        <v>1</v>
      </c>
      <c r="CU13">
        <f>ROUND(AT13*Source!I33*AH13*AL13,2)</f>
        <v>2524.29</v>
      </c>
      <c r="CV13">
        <f>ROUND(Y13*Source!I33,7)</f>
        <v>3.496</v>
      </c>
      <c r="CW13">
        <v>0</v>
      </c>
      <c r="CX13">
        <f>ROUND(Y13*Source!I33,7)</f>
        <v>3.496</v>
      </c>
      <c r="CY13">
        <f>AD13</f>
        <v>722.05</v>
      </c>
      <c r="CZ13">
        <f>AH13</f>
        <v>722.05</v>
      </c>
      <c r="DA13">
        <f>AL13</f>
        <v>1</v>
      </c>
      <c r="DB13">
        <f t="shared" si="1"/>
        <v>126214.34</v>
      </c>
      <c r="DC13">
        <f t="shared" si="2"/>
        <v>0</v>
      </c>
      <c r="DD13" t="s">
        <v>332</v>
      </c>
      <c r="DE13" t="s">
        <v>332</v>
      </c>
      <c r="DF13">
        <f t="shared" si="6"/>
        <v>0</v>
      </c>
      <c r="DG13">
        <f t="shared" si="5"/>
        <v>0</v>
      </c>
      <c r="DH13">
        <f t="shared" si="3"/>
        <v>0</v>
      </c>
      <c r="DI13">
        <f t="shared" si="4"/>
        <v>2524.29</v>
      </c>
      <c r="DJ13">
        <f>DI13</f>
        <v>2524.29</v>
      </c>
      <c r="DK13">
        <v>1</v>
      </c>
      <c r="DL13" t="s">
        <v>332</v>
      </c>
      <c r="DM13">
        <v>0</v>
      </c>
      <c r="DN13" t="s">
        <v>332</v>
      </c>
      <c r="DO13">
        <v>0</v>
      </c>
    </row>
    <row r="14" spans="1:119" x14ac:dyDescent="0.25">
      <c r="A14">
        <f>ROW(Source!A33)</f>
        <v>33</v>
      </c>
      <c r="B14">
        <v>78397139</v>
      </c>
      <c r="C14">
        <v>78397521</v>
      </c>
      <c r="D14">
        <v>77423956</v>
      </c>
      <c r="E14">
        <v>117</v>
      </c>
      <c r="F14">
        <v>1</v>
      </c>
      <c r="G14">
        <v>1</v>
      </c>
      <c r="H14">
        <v>1</v>
      </c>
      <c r="I14" t="s">
        <v>647</v>
      </c>
      <c r="J14" t="s">
        <v>332</v>
      </c>
      <c r="K14" t="s">
        <v>648</v>
      </c>
      <c r="L14">
        <v>1191</v>
      </c>
      <c r="N14">
        <v>1013</v>
      </c>
      <c r="O14" t="s">
        <v>31</v>
      </c>
      <c r="P14" t="s">
        <v>31</v>
      </c>
      <c r="Q14">
        <v>1</v>
      </c>
      <c r="W14">
        <v>0</v>
      </c>
      <c r="X14">
        <v>-1417349443</v>
      </c>
      <c r="Y14">
        <f t="shared" si="0"/>
        <v>0.72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0</v>
      </c>
      <c r="AQ14">
        <v>1</v>
      </c>
      <c r="AR14">
        <v>0</v>
      </c>
      <c r="AS14" t="s">
        <v>332</v>
      </c>
      <c r="AT14">
        <v>0.72</v>
      </c>
      <c r="AU14" t="s">
        <v>332</v>
      </c>
      <c r="AV14">
        <v>2</v>
      </c>
      <c r="AW14">
        <v>2</v>
      </c>
      <c r="AX14">
        <v>78397523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ROUND(Y14*Source!I33,7)</f>
        <v>1.44E-2</v>
      </c>
      <c r="CY14">
        <f>AD14</f>
        <v>0</v>
      </c>
      <c r="CZ14">
        <f>AH14</f>
        <v>0</v>
      </c>
      <c r="DA14">
        <f>AL14</f>
        <v>1</v>
      </c>
      <c r="DB14">
        <f t="shared" si="1"/>
        <v>0</v>
      </c>
      <c r="DC14">
        <f t="shared" si="2"/>
        <v>0</v>
      </c>
      <c r="DD14" t="s">
        <v>332</v>
      </c>
      <c r="DE14" t="s">
        <v>332</v>
      </c>
      <c r="DF14">
        <f t="shared" si="6"/>
        <v>0</v>
      </c>
      <c r="DG14">
        <f t="shared" si="5"/>
        <v>0</v>
      </c>
      <c r="DH14">
        <f t="shared" si="3"/>
        <v>0</v>
      </c>
      <c r="DI14">
        <f t="shared" si="4"/>
        <v>0</v>
      </c>
      <c r="DJ14">
        <f>DI14</f>
        <v>0</v>
      </c>
      <c r="DK14">
        <v>0</v>
      </c>
      <c r="DL14" t="s">
        <v>332</v>
      </c>
      <c r="DM14">
        <v>0</v>
      </c>
      <c r="DN14" t="s">
        <v>332</v>
      </c>
      <c r="DO14">
        <v>0</v>
      </c>
    </row>
    <row r="15" spans="1:119" x14ac:dyDescent="0.25">
      <c r="A15">
        <f>ROW(Source!A33)</f>
        <v>33</v>
      </c>
      <c r="B15">
        <v>78397139</v>
      </c>
      <c r="C15">
        <v>78397521</v>
      </c>
      <c r="D15">
        <v>77430632</v>
      </c>
      <c r="E15">
        <v>1</v>
      </c>
      <c r="F15">
        <v>1</v>
      </c>
      <c r="G15">
        <v>1</v>
      </c>
      <c r="H15">
        <v>2</v>
      </c>
      <c r="I15" t="s">
        <v>57</v>
      </c>
      <c r="J15" t="s">
        <v>649</v>
      </c>
      <c r="K15" t="s">
        <v>58</v>
      </c>
      <c r="L15">
        <v>1368</v>
      </c>
      <c r="N15">
        <v>1011</v>
      </c>
      <c r="O15" t="s">
        <v>59</v>
      </c>
      <c r="P15" t="s">
        <v>59</v>
      </c>
      <c r="Q15">
        <v>1</v>
      </c>
      <c r="W15">
        <v>0</v>
      </c>
      <c r="X15">
        <v>945201097</v>
      </c>
      <c r="Y15">
        <f t="shared" si="0"/>
        <v>0.36</v>
      </c>
      <c r="AA15">
        <v>0</v>
      </c>
      <c r="AB15">
        <v>57.47</v>
      </c>
      <c r="AC15">
        <v>641.22</v>
      </c>
      <c r="AD15">
        <v>0</v>
      </c>
      <c r="AE15">
        <v>0</v>
      </c>
      <c r="AF15">
        <v>37.32</v>
      </c>
      <c r="AG15">
        <v>641.22</v>
      </c>
      <c r="AH15">
        <v>0</v>
      </c>
      <c r="AI15">
        <v>1</v>
      </c>
      <c r="AJ15">
        <v>1.54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0</v>
      </c>
      <c r="AQ15">
        <v>1</v>
      </c>
      <c r="AR15">
        <v>0</v>
      </c>
      <c r="AS15" t="s">
        <v>332</v>
      </c>
      <c r="AT15">
        <v>0.36</v>
      </c>
      <c r="AU15" t="s">
        <v>332</v>
      </c>
      <c r="AV15">
        <v>1</v>
      </c>
      <c r="AW15">
        <v>2</v>
      </c>
      <c r="AX15">
        <v>78397524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13.4352</v>
      </c>
      <c r="BL15">
        <v>230.83920000000001</v>
      </c>
      <c r="BM15">
        <v>0</v>
      </c>
      <c r="BN15">
        <v>0</v>
      </c>
      <c r="BO15">
        <v>0.36</v>
      </c>
      <c r="BP15">
        <v>1</v>
      </c>
      <c r="BQ15">
        <v>0</v>
      </c>
      <c r="BR15">
        <v>13.4352</v>
      </c>
      <c r="BS15">
        <v>230.83920000000001</v>
      </c>
      <c r="BT15">
        <v>0</v>
      </c>
      <c r="BU15">
        <v>0</v>
      </c>
      <c r="BV15">
        <v>0.36</v>
      </c>
      <c r="BW15">
        <v>1</v>
      </c>
      <c r="CV15">
        <v>0</v>
      </c>
      <c r="CW15">
        <f>ROUND(Y15*Source!I33*DO15,7)</f>
        <v>7.1999999999999998E-3</v>
      </c>
      <c r="CX15">
        <f>ROUND(Y15*Source!I33,7)</f>
        <v>7.1999999999999998E-3</v>
      </c>
      <c r="CY15">
        <f>AB15</f>
        <v>57.47</v>
      </c>
      <c r="CZ15">
        <f>AF15</f>
        <v>37.32</v>
      </c>
      <c r="DA15">
        <f>AJ15</f>
        <v>1.54</v>
      </c>
      <c r="DB15">
        <f t="shared" si="1"/>
        <v>13.44</v>
      </c>
      <c r="DC15">
        <f t="shared" si="2"/>
        <v>230.84</v>
      </c>
      <c r="DD15" t="s">
        <v>332</v>
      </c>
      <c r="DE15" t="s">
        <v>332</v>
      </c>
      <c r="DF15">
        <f t="shared" si="6"/>
        <v>0</v>
      </c>
      <c r="DG15">
        <f>ROUND(ROUND(AF15*AJ15,2)*CX15,2)</f>
        <v>0.41</v>
      </c>
      <c r="DH15">
        <f t="shared" si="3"/>
        <v>4.62</v>
      </c>
      <c r="DI15">
        <f t="shared" si="4"/>
        <v>0</v>
      </c>
      <c r="DJ15">
        <f>DG15+DH15</f>
        <v>5.03</v>
      </c>
      <c r="DK15">
        <v>0</v>
      </c>
      <c r="DL15" t="s">
        <v>60</v>
      </c>
      <c r="DM15">
        <v>3</v>
      </c>
      <c r="DN15" t="s">
        <v>31</v>
      </c>
      <c r="DO15">
        <v>1</v>
      </c>
    </row>
    <row r="16" spans="1:119" x14ac:dyDescent="0.25">
      <c r="A16">
        <f>ROW(Source!A33)</f>
        <v>33</v>
      </c>
      <c r="B16">
        <v>78397139</v>
      </c>
      <c r="C16">
        <v>78397521</v>
      </c>
      <c r="D16">
        <v>77431339</v>
      </c>
      <c r="E16">
        <v>1</v>
      </c>
      <c r="F16">
        <v>1</v>
      </c>
      <c r="G16">
        <v>1</v>
      </c>
      <c r="H16">
        <v>2</v>
      </c>
      <c r="I16" t="s">
        <v>62</v>
      </c>
      <c r="J16" t="s">
        <v>650</v>
      </c>
      <c r="K16" t="s">
        <v>63</v>
      </c>
      <c r="L16">
        <v>1368</v>
      </c>
      <c r="N16">
        <v>1011</v>
      </c>
      <c r="O16" t="s">
        <v>59</v>
      </c>
      <c r="P16" t="s">
        <v>59</v>
      </c>
      <c r="Q16">
        <v>1</v>
      </c>
      <c r="W16">
        <v>0</v>
      </c>
      <c r="X16">
        <v>-849950259</v>
      </c>
      <c r="Y16">
        <f t="shared" si="0"/>
        <v>0.36</v>
      </c>
      <c r="AA16">
        <v>0</v>
      </c>
      <c r="AB16">
        <v>643.29</v>
      </c>
      <c r="AC16">
        <v>722.05</v>
      </c>
      <c r="AD16">
        <v>0</v>
      </c>
      <c r="AE16">
        <v>0</v>
      </c>
      <c r="AF16">
        <v>643.29</v>
      </c>
      <c r="AG16">
        <v>722.05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0</v>
      </c>
      <c r="AQ16">
        <v>1</v>
      </c>
      <c r="AR16">
        <v>0</v>
      </c>
      <c r="AS16" t="s">
        <v>332</v>
      </c>
      <c r="AT16">
        <v>0.36</v>
      </c>
      <c r="AU16" t="s">
        <v>332</v>
      </c>
      <c r="AV16">
        <v>1</v>
      </c>
      <c r="AW16">
        <v>2</v>
      </c>
      <c r="AX16">
        <v>78397525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231.58439999999999</v>
      </c>
      <c r="BL16">
        <v>259.93799999999999</v>
      </c>
      <c r="BM16">
        <v>0</v>
      </c>
      <c r="BN16">
        <v>0</v>
      </c>
      <c r="BO16">
        <v>0.36</v>
      </c>
      <c r="BP16">
        <v>1</v>
      </c>
      <c r="BQ16">
        <v>0</v>
      </c>
      <c r="BR16">
        <v>231.58439999999999</v>
      </c>
      <c r="BS16">
        <v>259.93799999999999</v>
      </c>
      <c r="BT16">
        <v>0</v>
      </c>
      <c r="BU16">
        <v>0</v>
      </c>
      <c r="BV16">
        <v>0.36</v>
      </c>
      <c r="BW16">
        <v>1</v>
      </c>
      <c r="CV16">
        <v>0</v>
      </c>
      <c r="CW16">
        <f>ROUND(Y16*Source!I33*DO16,7)</f>
        <v>7.1999999999999998E-3</v>
      </c>
      <c r="CX16">
        <f>ROUND(Y16*Source!I33,7)</f>
        <v>7.1999999999999998E-3</v>
      </c>
      <c r="CY16">
        <f>AB16</f>
        <v>643.29</v>
      </c>
      <c r="CZ16">
        <f>AF16</f>
        <v>643.29</v>
      </c>
      <c r="DA16">
        <f>AJ16</f>
        <v>1</v>
      </c>
      <c r="DB16">
        <f t="shared" si="1"/>
        <v>231.58</v>
      </c>
      <c r="DC16">
        <f t="shared" si="2"/>
        <v>259.94</v>
      </c>
      <c r="DD16" t="s">
        <v>332</v>
      </c>
      <c r="DE16" t="s">
        <v>332</v>
      </c>
      <c r="DF16">
        <f t="shared" si="6"/>
        <v>0</v>
      </c>
      <c r="DG16">
        <f>ROUND(ROUND(AF16,2)*CX16,2)</f>
        <v>4.63</v>
      </c>
      <c r="DH16">
        <f t="shared" si="3"/>
        <v>5.2</v>
      </c>
      <c r="DI16">
        <f t="shared" si="4"/>
        <v>0</v>
      </c>
      <c r="DJ16">
        <f>DG16+DH16</f>
        <v>9.83</v>
      </c>
      <c r="DK16">
        <v>1</v>
      </c>
      <c r="DL16" t="s">
        <v>64</v>
      </c>
      <c r="DM16">
        <v>4</v>
      </c>
      <c r="DN16" t="s">
        <v>31</v>
      </c>
      <c r="DO16">
        <v>1</v>
      </c>
    </row>
    <row r="17" spans="1:119" x14ac:dyDescent="0.25">
      <c r="A17">
        <f>ROW(Source!A33)</f>
        <v>33</v>
      </c>
      <c r="B17">
        <v>78397139</v>
      </c>
      <c r="C17">
        <v>78397521</v>
      </c>
      <c r="D17">
        <v>77431497</v>
      </c>
      <c r="E17">
        <v>1</v>
      </c>
      <c r="F17">
        <v>1</v>
      </c>
      <c r="G17">
        <v>1</v>
      </c>
      <c r="H17">
        <v>2</v>
      </c>
      <c r="I17" t="s">
        <v>98</v>
      </c>
      <c r="J17" t="s">
        <v>653</v>
      </c>
      <c r="K17" t="s">
        <v>99</v>
      </c>
      <c r="L17">
        <v>1368</v>
      </c>
      <c r="N17">
        <v>1011</v>
      </c>
      <c r="O17" t="s">
        <v>59</v>
      </c>
      <c r="P17" t="s">
        <v>59</v>
      </c>
      <c r="Q17">
        <v>1</v>
      </c>
      <c r="W17">
        <v>0</v>
      </c>
      <c r="X17">
        <v>-880363394</v>
      </c>
      <c r="Y17">
        <f t="shared" si="0"/>
        <v>8.9</v>
      </c>
      <c r="AA17">
        <v>0</v>
      </c>
      <c r="AB17">
        <v>5.35</v>
      </c>
      <c r="AC17">
        <v>0</v>
      </c>
      <c r="AD17">
        <v>0</v>
      </c>
      <c r="AE17">
        <v>0</v>
      </c>
      <c r="AF17">
        <v>4.3499999999999996</v>
      </c>
      <c r="AG17">
        <v>0</v>
      </c>
      <c r="AH17">
        <v>0</v>
      </c>
      <c r="AI17">
        <v>1</v>
      </c>
      <c r="AJ17">
        <v>1.23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0</v>
      </c>
      <c r="AQ17">
        <v>1</v>
      </c>
      <c r="AR17">
        <v>0</v>
      </c>
      <c r="AS17" t="s">
        <v>332</v>
      </c>
      <c r="AT17">
        <v>8.9</v>
      </c>
      <c r="AU17" t="s">
        <v>332</v>
      </c>
      <c r="AV17">
        <v>1</v>
      </c>
      <c r="AW17">
        <v>2</v>
      </c>
      <c r="AX17">
        <v>78397526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38.715000000000003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38.715000000000003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f>ROUND(Y17*Source!I33*DO17,7)</f>
        <v>0</v>
      </c>
      <c r="CX17">
        <f>ROUND(Y17*Source!I33,7)</f>
        <v>0.17799999999999999</v>
      </c>
      <c r="CY17">
        <f>AB17</f>
        <v>5.35</v>
      </c>
      <c r="CZ17">
        <f>AF17</f>
        <v>4.3499999999999996</v>
      </c>
      <c r="DA17">
        <f>AJ17</f>
        <v>1.23</v>
      </c>
      <c r="DB17">
        <f t="shared" si="1"/>
        <v>38.72</v>
      </c>
      <c r="DC17">
        <f t="shared" si="2"/>
        <v>0</v>
      </c>
      <c r="DD17" t="s">
        <v>332</v>
      </c>
      <c r="DE17" t="s">
        <v>332</v>
      </c>
      <c r="DF17">
        <f t="shared" si="6"/>
        <v>0</v>
      </c>
      <c r="DG17">
        <f>ROUND(ROUND(AF17*AJ17,2)*CX17,2)</f>
        <v>0.95</v>
      </c>
      <c r="DH17">
        <f t="shared" si="3"/>
        <v>0</v>
      </c>
      <c r="DI17">
        <f t="shared" si="4"/>
        <v>0</v>
      </c>
      <c r="DJ17">
        <f>DG17+DH17</f>
        <v>0.95</v>
      </c>
      <c r="DK17">
        <v>0</v>
      </c>
      <c r="DL17" t="s">
        <v>332</v>
      </c>
      <c r="DM17">
        <v>0</v>
      </c>
      <c r="DN17" t="s">
        <v>332</v>
      </c>
      <c r="DO17">
        <v>0</v>
      </c>
    </row>
    <row r="18" spans="1:119" x14ac:dyDescent="0.25">
      <c r="A18">
        <f>ROW(Source!A33)</f>
        <v>33</v>
      </c>
      <c r="B18">
        <v>78397139</v>
      </c>
      <c r="C18">
        <v>78397521</v>
      </c>
      <c r="D18">
        <v>77431535</v>
      </c>
      <c r="E18">
        <v>1</v>
      </c>
      <c r="F18">
        <v>1</v>
      </c>
      <c r="G18">
        <v>1</v>
      </c>
      <c r="H18">
        <v>2</v>
      </c>
      <c r="I18" t="s">
        <v>100</v>
      </c>
      <c r="J18" t="s">
        <v>654</v>
      </c>
      <c r="K18" t="s">
        <v>101</v>
      </c>
      <c r="L18">
        <v>1368</v>
      </c>
      <c r="N18">
        <v>1011</v>
      </c>
      <c r="O18" t="s">
        <v>59</v>
      </c>
      <c r="P18" t="s">
        <v>59</v>
      </c>
      <c r="Q18">
        <v>1</v>
      </c>
      <c r="W18">
        <v>0</v>
      </c>
      <c r="X18">
        <v>303316554</v>
      </c>
      <c r="Y18">
        <f t="shared" si="0"/>
        <v>25.9</v>
      </c>
      <c r="AA18">
        <v>0</v>
      </c>
      <c r="AB18">
        <v>32.26</v>
      </c>
      <c r="AC18">
        <v>0</v>
      </c>
      <c r="AD18">
        <v>0</v>
      </c>
      <c r="AE18">
        <v>0</v>
      </c>
      <c r="AF18">
        <v>32.26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0</v>
      </c>
      <c r="AQ18">
        <v>1</v>
      </c>
      <c r="AR18">
        <v>0</v>
      </c>
      <c r="AS18" t="s">
        <v>332</v>
      </c>
      <c r="AT18">
        <v>25.9</v>
      </c>
      <c r="AU18" t="s">
        <v>332</v>
      </c>
      <c r="AV18">
        <v>1</v>
      </c>
      <c r="AW18">
        <v>2</v>
      </c>
      <c r="AX18">
        <v>78397527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835.53399999999999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835.53399999999999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0.51800000000000002</v>
      </c>
      <c r="CY18">
        <f>AB18</f>
        <v>32.26</v>
      </c>
      <c r="CZ18">
        <f>AF18</f>
        <v>32.26</v>
      </c>
      <c r="DA18">
        <f>AJ18</f>
        <v>1</v>
      </c>
      <c r="DB18">
        <f t="shared" si="1"/>
        <v>835.53</v>
      </c>
      <c r="DC18">
        <f t="shared" si="2"/>
        <v>0</v>
      </c>
      <c r="DD18" t="s">
        <v>332</v>
      </c>
      <c r="DE18" t="s">
        <v>332</v>
      </c>
      <c r="DF18">
        <f t="shared" si="6"/>
        <v>0</v>
      </c>
      <c r="DG18">
        <f t="shared" ref="DG18:DG26" si="7">ROUND(ROUND(AF18,2)*CX18,2)</f>
        <v>16.71</v>
      </c>
      <c r="DH18">
        <f t="shared" si="3"/>
        <v>0</v>
      </c>
      <c r="DI18">
        <f t="shared" si="4"/>
        <v>0</v>
      </c>
      <c r="DJ18">
        <f>DG18+DH18</f>
        <v>16.71</v>
      </c>
      <c r="DK18">
        <v>1</v>
      </c>
      <c r="DL18" t="s">
        <v>332</v>
      </c>
      <c r="DM18">
        <v>0</v>
      </c>
      <c r="DN18" t="s">
        <v>332</v>
      </c>
      <c r="DO18">
        <v>0</v>
      </c>
    </row>
    <row r="19" spans="1:119" x14ac:dyDescent="0.25">
      <c r="A19">
        <f>ROW(Source!A33)</f>
        <v>33</v>
      </c>
      <c r="B19">
        <v>78397139</v>
      </c>
      <c r="C19">
        <v>78397521</v>
      </c>
      <c r="D19">
        <v>77496097</v>
      </c>
      <c r="E19">
        <v>1</v>
      </c>
      <c r="F19">
        <v>1</v>
      </c>
      <c r="G19">
        <v>1</v>
      </c>
      <c r="H19">
        <v>3</v>
      </c>
      <c r="I19" t="s">
        <v>102</v>
      </c>
      <c r="J19" t="s">
        <v>655</v>
      </c>
      <c r="K19" t="s">
        <v>103</v>
      </c>
      <c r="L19">
        <v>1339</v>
      </c>
      <c r="N19">
        <v>1007</v>
      </c>
      <c r="O19" t="s">
        <v>104</v>
      </c>
      <c r="P19" t="s">
        <v>104</v>
      </c>
      <c r="Q19">
        <v>1</v>
      </c>
      <c r="W19">
        <v>0</v>
      </c>
      <c r="X19">
        <v>-1693431674</v>
      </c>
      <c r="Y19">
        <f t="shared" si="0"/>
        <v>2.0499999999999998</v>
      </c>
      <c r="AA19">
        <v>510.62</v>
      </c>
      <c r="AB19">
        <v>0</v>
      </c>
      <c r="AC19">
        <v>0</v>
      </c>
      <c r="AD19">
        <v>0</v>
      </c>
      <c r="AE19">
        <v>340.41</v>
      </c>
      <c r="AF19">
        <v>0</v>
      </c>
      <c r="AG19">
        <v>0</v>
      </c>
      <c r="AH19">
        <v>0</v>
      </c>
      <c r="AI19">
        <v>1.5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0</v>
      </c>
      <c r="AQ19">
        <v>1</v>
      </c>
      <c r="AR19">
        <v>0</v>
      </c>
      <c r="AS19" t="s">
        <v>332</v>
      </c>
      <c r="AT19">
        <v>2.0499999999999998</v>
      </c>
      <c r="AU19" t="s">
        <v>332</v>
      </c>
      <c r="AV19">
        <v>0</v>
      </c>
      <c r="AW19">
        <v>2</v>
      </c>
      <c r="AX19">
        <v>78397528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697.84050000000002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697.84050000000002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4.1000000000000002E-2</v>
      </c>
      <c r="CY19">
        <f t="shared" ref="CY19:CY24" si="8">AA19</f>
        <v>510.62</v>
      </c>
      <c r="CZ19">
        <f t="shared" ref="CZ19:CZ24" si="9">AE19</f>
        <v>340.41</v>
      </c>
      <c r="DA19">
        <f t="shared" ref="DA19:DA24" si="10">AI19</f>
        <v>1.5</v>
      </c>
      <c r="DB19">
        <f t="shared" si="1"/>
        <v>697.84</v>
      </c>
      <c r="DC19">
        <f t="shared" si="2"/>
        <v>0</v>
      </c>
      <c r="DD19" t="s">
        <v>332</v>
      </c>
      <c r="DE19" t="s">
        <v>332</v>
      </c>
      <c r="DF19">
        <f t="shared" ref="DF19:DF24" si="11">ROUND(ROUND(AE19*AI19,2)*CX19,2)</f>
        <v>20.94</v>
      </c>
      <c r="DG19">
        <f t="shared" si="7"/>
        <v>0</v>
      </c>
      <c r="DH19">
        <f t="shared" si="3"/>
        <v>0</v>
      </c>
      <c r="DI19">
        <f t="shared" si="4"/>
        <v>0</v>
      </c>
      <c r="DJ19">
        <f t="shared" ref="DJ19:DJ24" si="12">DF19</f>
        <v>20.94</v>
      </c>
      <c r="DK19">
        <v>0</v>
      </c>
      <c r="DL19" t="s">
        <v>332</v>
      </c>
      <c r="DM19">
        <v>0</v>
      </c>
      <c r="DN19" t="s">
        <v>332</v>
      </c>
      <c r="DO19">
        <v>0</v>
      </c>
    </row>
    <row r="20" spans="1:119" x14ac:dyDescent="0.25">
      <c r="A20">
        <f>ROW(Source!A33)</f>
        <v>33</v>
      </c>
      <c r="B20">
        <v>78397139</v>
      </c>
      <c r="C20">
        <v>78397521</v>
      </c>
      <c r="D20">
        <v>77496113</v>
      </c>
      <c r="E20">
        <v>1</v>
      </c>
      <c r="F20">
        <v>1</v>
      </c>
      <c r="G20">
        <v>1</v>
      </c>
      <c r="H20">
        <v>3</v>
      </c>
      <c r="I20" t="s">
        <v>105</v>
      </c>
      <c r="J20" t="s">
        <v>656</v>
      </c>
      <c r="K20" t="s">
        <v>106</v>
      </c>
      <c r="L20">
        <v>1339</v>
      </c>
      <c r="N20">
        <v>1007</v>
      </c>
      <c r="O20" t="s">
        <v>104</v>
      </c>
      <c r="P20" t="s">
        <v>104</v>
      </c>
      <c r="Q20">
        <v>1</v>
      </c>
      <c r="W20">
        <v>0</v>
      </c>
      <c r="X20">
        <v>-2058989610</v>
      </c>
      <c r="Y20">
        <f t="shared" si="0"/>
        <v>2.52</v>
      </c>
      <c r="AA20">
        <v>97.44</v>
      </c>
      <c r="AB20">
        <v>0</v>
      </c>
      <c r="AC20">
        <v>0</v>
      </c>
      <c r="AD20">
        <v>0</v>
      </c>
      <c r="AE20">
        <v>114.64</v>
      </c>
      <c r="AF20">
        <v>0</v>
      </c>
      <c r="AG20">
        <v>0</v>
      </c>
      <c r="AH20">
        <v>0</v>
      </c>
      <c r="AI20">
        <v>0.85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0</v>
      </c>
      <c r="AQ20">
        <v>1</v>
      </c>
      <c r="AR20">
        <v>0</v>
      </c>
      <c r="AS20" t="s">
        <v>332</v>
      </c>
      <c r="AT20">
        <v>2.52</v>
      </c>
      <c r="AU20" t="s">
        <v>332</v>
      </c>
      <c r="AV20">
        <v>0</v>
      </c>
      <c r="AW20">
        <v>2</v>
      </c>
      <c r="AX20">
        <v>78397529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288.89280000000002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288.89280000000002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5.04E-2</v>
      </c>
      <c r="CY20">
        <f t="shared" si="8"/>
        <v>97.44</v>
      </c>
      <c r="CZ20">
        <f t="shared" si="9"/>
        <v>114.64</v>
      </c>
      <c r="DA20">
        <f t="shared" si="10"/>
        <v>0.85</v>
      </c>
      <c r="DB20">
        <f t="shared" si="1"/>
        <v>288.89</v>
      </c>
      <c r="DC20">
        <f t="shared" si="2"/>
        <v>0</v>
      </c>
      <c r="DD20" t="s">
        <v>332</v>
      </c>
      <c r="DE20" t="s">
        <v>332</v>
      </c>
      <c r="DF20">
        <f t="shared" si="11"/>
        <v>4.91</v>
      </c>
      <c r="DG20">
        <f t="shared" si="7"/>
        <v>0</v>
      </c>
      <c r="DH20">
        <f t="shared" si="3"/>
        <v>0</v>
      </c>
      <c r="DI20">
        <f t="shared" si="4"/>
        <v>0</v>
      </c>
      <c r="DJ20">
        <f t="shared" si="12"/>
        <v>4.91</v>
      </c>
      <c r="DK20">
        <v>0</v>
      </c>
      <c r="DL20" t="s">
        <v>332</v>
      </c>
      <c r="DM20">
        <v>0</v>
      </c>
      <c r="DN20" t="s">
        <v>332</v>
      </c>
      <c r="DO20">
        <v>0</v>
      </c>
    </row>
    <row r="21" spans="1:119" x14ac:dyDescent="0.25">
      <c r="A21">
        <f>ROW(Source!A33)</f>
        <v>33</v>
      </c>
      <c r="B21">
        <v>78397139</v>
      </c>
      <c r="C21">
        <v>78397521</v>
      </c>
      <c r="D21">
        <v>77498725</v>
      </c>
      <c r="E21">
        <v>1</v>
      </c>
      <c r="F21">
        <v>1</v>
      </c>
      <c r="G21">
        <v>1</v>
      </c>
      <c r="H21">
        <v>3</v>
      </c>
      <c r="I21" t="s">
        <v>107</v>
      </c>
      <c r="J21" t="s">
        <v>657</v>
      </c>
      <c r="K21" t="s">
        <v>108</v>
      </c>
      <c r="L21">
        <v>1348</v>
      </c>
      <c r="N21">
        <v>1009</v>
      </c>
      <c r="O21" t="s">
        <v>87</v>
      </c>
      <c r="P21" t="s">
        <v>87</v>
      </c>
      <c r="Q21">
        <v>1000</v>
      </c>
      <c r="W21">
        <v>0</v>
      </c>
      <c r="X21">
        <v>651198489</v>
      </c>
      <c r="Y21">
        <f t="shared" si="0"/>
        <v>1E-3</v>
      </c>
      <c r="AA21">
        <v>108956.83</v>
      </c>
      <c r="AB21">
        <v>0</v>
      </c>
      <c r="AC21">
        <v>0</v>
      </c>
      <c r="AD21">
        <v>0</v>
      </c>
      <c r="AE21">
        <v>97282.880000000005</v>
      </c>
      <c r="AF21">
        <v>0</v>
      </c>
      <c r="AG21">
        <v>0</v>
      </c>
      <c r="AH21">
        <v>0</v>
      </c>
      <c r="AI21">
        <v>1.1200000000000001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0</v>
      </c>
      <c r="AQ21">
        <v>1</v>
      </c>
      <c r="AR21">
        <v>0</v>
      </c>
      <c r="AS21" t="s">
        <v>332</v>
      </c>
      <c r="AT21">
        <v>1E-3</v>
      </c>
      <c r="AU21" t="s">
        <v>332</v>
      </c>
      <c r="AV21">
        <v>0</v>
      </c>
      <c r="AW21">
        <v>2</v>
      </c>
      <c r="AX21">
        <v>78397530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97.282880000000006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97.282880000000006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2.0000000000000002E-5</v>
      </c>
      <c r="CY21">
        <f t="shared" si="8"/>
        <v>108956.83</v>
      </c>
      <c r="CZ21">
        <f t="shared" si="9"/>
        <v>97282.880000000005</v>
      </c>
      <c r="DA21">
        <f t="shared" si="10"/>
        <v>1.1200000000000001</v>
      </c>
      <c r="DB21">
        <f t="shared" si="1"/>
        <v>97.28</v>
      </c>
      <c r="DC21">
        <f t="shared" si="2"/>
        <v>0</v>
      </c>
      <c r="DD21" t="s">
        <v>332</v>
      </c>
      <c r="DE21" t="s">
        <v>332</v>
      </c>
      <c r="DF21">
        <f t="shared" si="11"/>
        <v>2.1800000000000002</v>
      </c>
      <c r="DG21">
        <f t="shared" si="7"/>
        <v>0</v>
      </c>
      <c r="DH21">
        <f t="shared" si="3"/>
        <v>0</v>
      </c>
      <c r="DI21">
        <f t="shared" si="4"/>
        <v>0</v>
      </c>
      <c r="DJ21">
        <f t="shared" si="12"/>
        <v>2.1800000000000002</v>
      </c>
      <c r="DK21">
        <v>0</v>
      </c>
      <c r="DL21" t="s">
        <v>332</v>
      </c>
      <c r="DM21">
        <v>0</v>
      </c>
      <c r="DN21" t="s">
        <v>332</v>
      </c>
      <c r="DO21">
        <v>0</v>
      </c>
    </row>
    <row r="22" spans="1:119" x14ac:dyDescent="0.25">
      <c r="A22">
        <f>ROW(Source!A33)</f>
        <v>33</v>
      </c>
      <c r="B22">
        <v>78397139</v>
      </c>
      <c r="C22">
        <v>78397521</v>
      </c>
      <c r="D22">
        <v>77498850</v>
      </c>
      <c r="E22">
        <v>1</v>
      </c>
      <c r="F22">
        <v>1</v>
      </c>
      <c r="G22">
        <v>1</v>
      </c>
      <c r="H22">
        <v>3</v>
      </c>
      <c r="I22" t="s">
        <v>109</v>
      </c>
      <c r="J22" t="s">
        <v>658</v>
      </c>
      <c r="K22" t="s">
        <v>110</v>
      </c>
      <c r="L22">
        <v>1346</v>
      </c>
      <c r="N22">
        <v>1009</v>
      </c>
      <c r="O22" t="s">
        <v>111</v>
      </c>
      <c r="P22" t="s">
        <v>111</v>
      </c>
      <c r="Q22">
        <v>1</v>
      </c>
      <c r="W22">
        <v>0</v>
      </c>
      <c r="X22">
        <v>-163259778</v>
      </c>
      <c r="Y22">
        <f t="shared" si="0"/>
        <v>6</v>
      </c>
      <c r="AA22">
        <v>121.39</v>
      </c>
      <c r="AB22">
        <v>0</v>
      </c>
      <c r="AC22">
        <v>0</v>
      </c>
      <c r="AD22">
        <v>0</v>
      </c>
      <c r="AE22">
        <v>155.63</v>
      </c>
      <c r="AF22">
        <v>0</v>
      </c>
      <c r="AG22">
        <v>0</v>
      </c>
      <c r="AH22">
        <v>0</v>
      </c>
      <c r="AI22">
        <v>0.78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332</v>
      </c>
      <c r="AT22">
        <v>6</v>
      </c>
      <c r="AU22" t="s">
        <v>332</v>
      </c>
      <c r="AV22">
        <v>0</v>
      </c>
      <c r="AW22">
        <v>2</v>
      </c>
      <c r="AX22">
        <v>78397531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933.78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933.78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1</v>
      </c>
      <c r="CV22">
        <v>0</v>
      </c>
      <c r="CW22">
        <v>0</v>
      </c>
      <c r="CX22">
        <f>ROUND(Y22*Source!I33,7)</f>
        <v>0.12</v>
      </c>
      <c r="CY22">
        <f t="shared" si="8"/>
        <v>121.39</v>
      </c>
      <c r="CZ22">
        <f t="shared" si="9"/>
        <v>155.63</v>
      </c>
      <c r="DA22">
        <f t="shared" si="10"/>
        <v>0.78</v>
      </c>
      <c r="DB22">
        <f t="shared" si="1"/>
        <v>933.78</v>
      </c>
      <c r="DC22">
        <f t="shared" si="2"/>
        <v>0</v>
      </c>
      <c r="DD22" t="s">
        <v>332</v>
      </c>
      <c r="DE22" t="s">
        <v>332</v>
      </c>
      <c r="DF22">
        <f t="shared" si="11"/>
        <v>14.57</v>
      </c>
      <c r="DG22">
        <f t="shared" si="7"/>
        <v>0</v>
      </c>
      <c r="DH22">
        <f t="shared" si="3"/>
        <v>0</v>
      </c>
      <c r="DI22">
        <f t="shared" si="4"/>
        <v>0</v>
      </c>
      <c r="DJ22">
        <f t="shared" si="12"/>
        <v>14.57</v>
      </c>
      <c r="DK22">
        <v>0</v>
      </c>
      <c r="DL22" t="s">
        <v>332</v>
      </c>
      <c r="DM22">
        <v>0</v>
      </c>
      <c r="DN22" t="s">
        <v>332</v>
      </c>
      <c r="DO22">
        <v>0</v>
      </c>
    </row>
    <row r="23" spans="1:119" x14ac:dyDescent="0.25">
      <c r="A23">
        <f>ROW(Source!A33)</f>
        <v>33</v>
      </c>
      <c r="B23">
        <v>78397139</v>
      </c>
      <c r="C23">
        <v>78397521</v>
      </c>
      <c r="D23">
        <v>77534592</v>
      </c>
      <c r="E23">
        <v>1</v>
      </c>
      <c r="F23">
        <v>1</v>
      </c>
      <c r="G23">
        <v>1</v>
      </c>
      <c r="H23">
        <v>3</v>
      </c>
      <c r="I23" t="s">
        <v>375</v>
      </c>
      <c r="J23" t="s">
        <v>377</v>
      </c>
      <c r="K23" t="s">
        <v>376</v>
      </c>
      <c r="L23">
        <v>1301</v>
      </c>
      <c r="N23">
        <v>1003</v>
      </c>
      <c r="O23" t="s">
        <v>69</v>
      </c>
      <c r="P23" t="s">
        <v>69</v>
      </c>
      <c r="Q23">
        <v>1</v>
      </c>
      <c r="W23">
        <v>0</v>
      </c>
      <c r="X23">
        <v>-1460447525</v>
      </c>
      <c r="Y23">
        <f t="shared" si="0"/>
        <v>100</v>
      </c>
      <c r="AA23">
        <v>768.33</v>
      </c>
      <c r="AB23">
        <v>0</v>
      </c>
      <c r="AC23">
        <v>0</v>
      </c>
      <c r="AD23">
        <v>0</v>
      </c>
      <c r="AE23">
        <v>960.41</v>
      </c>
      <c r="AF23">
        <v>0</v>
      </c>
      <c r="AG23">
        <v>0</v>
      </c>
      <c r="AH23">
        <v>0</v>
      </c>
      <c r="AI23">
        <v>0.8</v>
      </c>
      <c r="AJ23">
        <v>1</v>
      </c>
      <c r="AK23">
        <v>1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332</v>
      </c>
      <c r="AT23">
        <v>100</v>
      </c>
      <c r="AU23" t="s">
        <v>332</v>
      </c>
      <c r="AV23">
        <v>0</v>
      </c>
      <c r="AW23">
        <v>1</v>
      </c>
      <c r="AX23">
        <v>-1</v>
      </c>
      <c r="AY23">
        <v>0</v>
      </c>
      <c r="AZ23">
        <v>0</v>
      </c>
      <c r="BA23" t="s">
        <v>332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ROUND(Y23*Source!I33,7)</f>
        <v>2</v>
      </c>
      <c r="CY23">
        <f t="shared" si="8"/>
        <v>768.33</v>
      </c>
      <c r="CZ23">
        <f t="shared" si="9"/>
        <v>960.41</v>
      </c>
      <c r="DA23">
        <f t="shared" si="10"/>
        <v>0.8</v>
      </c>
      <c r="DB23">
        <f t="shared" si="1"/>
        <v>96041</v>
      </c>
      <c r="DC23">
        <f t="shared" si="2"/>
        <v>0</v>
      </c>
      <c r="DD23" t="s">
        <v>332</v>
      </c>
      <c r="DE23" t="s">
        <v>332</v>
      </c>
      <c r="DF23">
        <f t="shared" si="11"/>
        <v>1536.66</v>
      </c>
      <c r="DG23">
        <f t="shared" si="7"/>
        <v>0</v>
      </c>
      <c r="DH23">
        <f t="shared" si="3"/>
        <v>0</v>
      </c>
      <c r="DI23">
        <f t="shared" si="4"/>
        <v>0</v>
      </c>
      <c r="DJ23">
        <f t="shared" si="12"/>
        <v>1536.66</v>
      </c>
      <c r="DK23">
        <v>0</v>
      </c>
      <c r="DL23" t="s">
        <v>332</v>
      </c>
      <c r="DM23">
        <v>0</v>
      </c>
      <c r="DN23" t="s">
        <v>332</v>
      </c>
      <c r="DO23">
        <v>0</v>
      </c>
    </row>
    <row r="24" spans="1:119" x14ac:dyDescent="0.25">
      <c r="A24">
        <f>ROW(Source!A33)</f>
        <v>33</v>
      </c>
      <c r="B24">
        <v>78397139</v>
      </c>
      <c r="C24">
        <v>78397521</v>
      </c>
      <c r="D24">
        <v>77538720</v>
      </c>
      <c r="E24">
        <v>1</v>
      </c>
      <c r="F24">
        <v>1</v>
      </c>
      <c r="G24">
        <v>1</v>
      </c>
      <c r="H24">
        <v>3</v>
      </c>
      <c r="I24" t="s">
        <v>379</v>
      </c>
      <c r="J24" t="s">
        <v>381</v>
      </c>
      <c r="K24" t="s">
        <v>380</v>
      </c>
      <c r="L24">
        <v>1371</v>
      </c>
      <c r="N24">
        <v>1013</v>
      </c>
      <c r="O24" t="s">
        <v>366</v>
      </c>
      <c r="P24" t="s">
        <v>366</v>
      </c>
      <c r="Q24">
        <v>1</v>
      </c>
      <c r="W24">
        <v>0</v>
      </c>
      <c r="X24">
        <v>-421326667</v>
      </c>
      <c r="Y24">
        <f t="shared" si="0"/>
        <v>100</v>
      </c>
      <c r="AA24">
        <v>162.38999999999999</v>
      </c>
      <c r="AB24">
        <v>0</v>
      </c>
      <c r="AC24">
        <v>0</v>
      </c>
      <c r="AD24">
        <v>0</v>
      </c>
      <c r="AE24">
        <v>130.96</v>
      </c>
      <c r="AF24">
        <v>0</v>
      </c>
      <c r="AG24">
        <v>0</v>
      </c>
      <c r="AH24">
        <v>0</v>
      </c>
      <c r="AI24">
        <v>1.24</v>
      </c>
      <c r="AJ24">
        <v>1</v>
      </c>
      <c r="AK24">
        <v>1</v>
      </c>
      <c r="AL24">
        <v>1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332</v>
      </c>
      <c r="AT24">
        <v>100</v>
      </c>
      <c r="AU24" t="s">
        <v>332</v>
      </c>
      <c r="AV24">
        <v>0</v>
      </c>
      <c r="AW24">
        <v>1</v>
      </c>
      <c r="AX24">
        <v>-1</v>
      </c>
      <c r="AY24">
        <v>0</v>
      </c>
      <c r="AZ24">
        <v>0</v>
      </c>
      <c r="BA24" t="s">
        <v>332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2</v>
      </c>
      <c r="CY24">
        <f t="shared" si="8"/>
        <v>162.38999999999999</v>
      </c>
      <c r="CZ24">
        <f t="shared" si="9"/>
        <v>130.96</v>
      </c>
      <c r="DA24">
        <f t="shared" si="10"/>
        <v>1.24</v>
      </c>
      <c r="DB24">
        <f t="shared" si="1"/>
        <v>13096</v>
      </c>
      <c r="DC24">
        <f t="shared" si="2"/>
        <v>0</v>
      </c>
      <c r="DD24" t="s">
        <v>332</v>
      </c>
      <c r="DE24" t="s">
        <v>332</v>
      </c>
      <c r="DF24">
        <f t="shared" si="11"/>
        <v>324.77999999999997</v>
      </c>
      <c r="DG24">
        <f t="shared" si="7"/>
        <v>0</v>
      </c>
      <c r="DH24">
        <f t="shared" si="3"/>
        <v>0</v>
      </c>
      <c r="DI24">
        <f t="shared" si="4"/>
        <v>0</v>
      </c>
      <c r="DJ24">
        <f t="shared" si="12"/>
        <v>324.77999999999997</v>
      </c>
      <c r="DK24">
        <v>0</v>
      </c>
      <c r="DL24" t="s">
        <v>332</v>
      </c>
      <c r="DM24">
        <v>0</v>
      </c>
      <c r="DN24" t="s">
        <v>332</v>
      </c>
      <c r="DO24">
        <v>0</v>
      </c>
    </row>
    <row r="25" spans="1:119" x14ac:dyDescent="0.25">
      <c r="A25">
        <f>ROW(Source!A36)</f>
        <v>36</v>
      </c>
      <c r="B25">
        <v>78397139</v>
      </c>
      <c r="C25">
        <v>78397542</v>
      </c>
      <c r="D25">
        <v>28082212</v>
      </c>
      <c r="E25">
        <v>112</v>
      </c>
      <c r="F25">
        <v>1</v>
      </c>
      <c r="G25">
        <v>1</v>
      </c>
      <c r="H25">
        <v>1</v>
      </c>
      <c r="I25" t="s">
        <v>117</v>
      </c>
      <c r="J25" t="s">
        <v>332</v>
      </c>
      <c r="K25" t="s">
        <v>118</v>
      </c>
      <c r="L25">
        <v>1191</v>
      </c>
      <c r="N25">
        <v>1013</v>
      </c>
      <c r="O25" t="s">
        <v>31</v>
      </c>
      <c r="P25" t="s">
        <v>31</v>
      </c>
      <c r="Q25">
        <v>1</v>
      </c>
      <c r="W25">
        <v>0</v>
      </c>
      <c r="X25">
        <v>1521243167</v>
      </c>
      <c r="Y25">
        <f>(AT25*ROUND((1.15*2),7))</f>
        <v>12.212999999999999</v>
      </c>
      <c r="AA25">
        <v>0</v>
      </c>
      <c r="AB25">
        <v>0</v>
      </c>
      <c r="AC25">
        <v>0</v>
      </c>
      <c r="AD25">
        <v>797.48</v>
      </c>
      <c r="AE25">
        <v>0</v>
      </c>
      <c r="AF25">
        <v>0</v>
      </c>
      <c r="AG25">
        <v>0</v>
      </c>
      <c r="AH25">
        <v>797.48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332</v>
      </c>
      <c r="AT25">
        <v>5.31</v>
      </c>
      <c r="AU25" t="s">
        <v>388</v>
      </c>
      <c r="AV25">
        <v>1</v>
      </c>
      <c r="AW25">
        <v>2</v>
      </c>
      <c r="AX25">
        <v>78397575</v>
      </c>
      <c r="AY25">
        <v>1</v>
      </c>
      <c r="AZ25">
        <v>0</v>
      </c>
      <c r="BA25">
        <v>26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4234.6188000000002</v>
      </c>
      <c r="BN25">
        <v>5.31</v>
      </c>
      <c r="BO25">
        <v>0</v>
      </c>
      <c r="BP25">
        <v>1</v>
      </c>
      <c r="BQ25">
        <v>0</v>
      </c>
      <c r="BR25">
        <v>0</v>
      </c>
      <c r="BS25">
        <v>0</v>
      </c>
      <c r="BT25">
        <v>9739.6232400000008</v>
      </c>
      <c r="BU25">
        <v>12.212999999999999</v>
      </c>
      <c r="BV25">
        <v>0</v>
      </c>
      <c r="BW25">
        <v>1</v>
      </c>
      <c r="CU25">
        <f>ROUND(AT25*Source!I36*AH25*AL25,2)</f>
        <v>23.67</v>
      </c>
      <c r="CV25">
        <f>ROUND(Y25*Source!I36,7)</f>
        <v>6.8270700000000004E-2</v>
      </c>
      <c r="CW25">
        <v>0</v>
      </c>
      <c r="CX25">
        <f>ROUND(Y25*Source!I36,7)</f>
        <v>6.8270700000000004E-2</v>
      </c>
      <c r="CY25">
        <f>AD25</f>
        <v>797.48</v>
      </c>
      <c r="CZ25">
        <f>AH25</f>
        <v>797.48</v>
      </c>
      <c r="DA25">
        <f>AL25</f>
        <v>1</v>
      </c>
      <c r="DB25">
        <f>ROUND((ROUND(AT25*CZ25,2)*ROUND((1.15*2),7)),6)</f>
        <v>9739.6260000000002</v>
      </c>
      <c r="DC25">
        <f>ROUND((ROUND(AT25*AG25,2)*ROUND((1.15*2),7)),6)</f>
        <v>0</v>
      </c>
      <c r="DD25" t="s">
        <v>332</v>
      </c>
      <c r="DE25" t="s">
        <v>332</v>
      </c>
      <c r="DF25">
        <f t="shared" ref="DF25:DF30" si="13">ROUND(ROUND(AE25,2)*CX25,2)</f>
        <v>0</v>
      </c>
      <c r="DG25">
        <f t="shared" si="7"/>
        <v>0</v>
      </c>
      <c r="DH25">
        <f t="shared" si="3"/>
        <v>0</v>
      </c>
      <c r="DI25">
        <f t="shared" si="4"/>
        <v>54.44</v>
      </c>
      <c r="DJ25">
        <f>DI25</f>
        <v>54.44</v>
      </c>
      <c r="DK25">
        <v>1</v>
      </c>
      <c r="DL25" t="s">
        <v>332</v>
      </c>
      <c r="DM25">
        <v>0</v>
      </c>
      <c r="DN25" t="s">
        <v>332</v>
      </c>
      <c r="DO25">
        <v>0</v>
      </c>
    </row>
    <row r="26" spans="1:119" x14ac:dyDescent="0.25">
      <c r="A26">
        <f>ROW(Source!A36)</f>
        <v>36</v>
      </c>
      <c r="B26">
        <v>78397139</v>
      </c>
      <c r="C26">
        <v>78397542</v>
      </c>
      <c r="D26">
        <v>28074654</v>
      </c>
      <c r="E26">
        <v>112</v>
      </c>
      <c r="F26">
        <v>1</v>
      </c>
      <c r="G26">
        <v>1</v>
      </c>
      <c r="H26">
        <v>1</v>
      </c>
      <c r="I26" t="s">
        <v>647</v>
      </c>
      <c r="J26" t="s">
        <v>332</v>
      </c>
      <c r="K26" t="s">
        <v>648</v>
      </c>
      <c r="L26">
        <v>1191</v>
      </c>
      <c r="N26">
        <v>1013</v>
      </c>
      <c r="O26" t="s">
        <v>31</v>
      </c>
      <c r="P26" t="s">
        <v>31</v>
      </c>
      <c r="Q26">
        <v>1</v>
      </c>
      <c r="W26">
        <v>0</v>
      </c>
      <c r="X26">
        <v>-1417349443</v>
      </c>
      <c r="Y26">
        <f>(AT26*ROUND((1.25*2),7))</f>
        <v>0.05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332</v>
      </c>
      <c r="AT26">
        <v>0.02</v>
      </c>
      <c r="AU26" t="s">
        <v>387</v>
      </c>
      <c r="AV26">
        <v>2</v>
      </c>
      <c r="AW26">
        <v>2</v>
      </c>
      <c r="AX26">
        <v>78397576</v>
      </c>
      <c r="AY26">
        <v>1</v>
      </c>
      <c r="AZ26">
        <v>0</v>
      </c>
      <c r="BA26">
        <v>27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ROUND(Y26*Source!I36,7)</f>
        <v>2.7950000000000002E-4</v>
      </c>
      <c r="CY26">
        <f>AD26</f>
        <v>0</v>
      </c>
      <c r="CZ26">
        <f>AH26</f>
        <v>0</v>
      </c>
      <c r="DA26">
        <f>AL26</f>
        <v>1</v>
      </c>
      <c r="DB26">
        <f>ROUND((ROUND(AT26*CZ26,2)*ROUND((1.25*2),7)),6)</f>
        <v>0</v>
      </c>
      <c r="DC26">
        <f>ROUND((ROUND(AT26*AG26,2)*ROUND((1.25*2),7)),6)</f>
        <v>0</v>
      </c>
      <c r="DD26" t="s">
        <v>332</v>
      </c>
      <c r="DE26" t="s">
        <v>332</v>
      </c>
      <c r="DF26">
        <f t="shared" si="13"/>
        <v>0</v>
      </c>
      <c r="DG26">
        <f t="shared" si="7"/>
        <v>0</v>
      </c>
      <c r="DH26">
        <f t="shared" si="3"/>
        <v>0</v>
      </c>
      <c r="DI26">
        <f t="shared" si="4"/>
        <v>0</v>
      </c>
      <c r="DJ26">
        <f>DI26</f>
        <v>0</v>
      </c>
      <c r="DK26">
        <v>0</v>
      </c>
      <c r="DL26" t="s">
        <v>332</v>
      </c>
      <c r="DM26">
        <v>0</v>
      </c>
      <c r="DN26" t="s">
        <v>332</v>
      </c>
      <c r="DO26">
        <v>0</v>
      </c>
    </row>
    <row r="27" spans="1:119" x14ac:dyDescent="0.25">
      <c r="A27">
        <f>ROW(Source!A36)</f>
        <v>36</v>
      </c>
      <c r="B27">
        <v>78397139</v>
      </c>
      <c r="C27">
        <v>78397542</v>
      </c>
      <c r="D27">
        <v>70185919</v>
      </c>
      <c r="E27">
        <v>1</v>
      </c>
      <c r="F27">
        <v>1</v>
      </c>
      <c r="G27">
        <v>1</v>
      </c>
      <c r="H27">
        <v>2</v>
      </c>
      <c r="I27" t="s">
        <v>119</v>
      </c>
      <c r="J27" t="s">
        <v>659</v>
      </c>
      <c r="K27" t="s">
        <v>120</v>
      </c>
      <c r="L27">
        <v>1368</v>
      </c>
      <c r="N27">
        <v>1011</v>
      </c>
      <c r="O27" t="s">
        <v>59</v>
      </c>
      <c r="P27" t="s">
        <v>59</v>
      </c>
      <c r="Q27">
        <v>1</v>
      </c>
      <c r="W27">
        <v>0</v>
      </c>
      <c r="X27">
        <v>-430580475</v>
      </c>
      <c r="Y27">
        <f>(AT27*ROUND((1.25*2),7))</f>
        <v>2.5000000000000001E-2</v>
      </c>
      <c r="AA27">
        <v>0</v>
      </c>
      <c r="AB27">
        <v>9.8000000000000007</v>
      </c>
      <c r="AC27">
        <v>0</v>
      </c>
      <c r="AD27">
        <v>0</v>
      </c>
      <c r="AE27">
        <v>0</v>
      </c>
      <c r="AF27">
        <v>6.62</v>
      </c>
      <c r="AG27">
        <v>0</v>
      </c>
      <c r="AH27">
        <v>0</v>
      </c>
      <c r="AI27">
        <v>1</v>
      </c>
      <c r="AJ27">
        <v>1.48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332</v>
      </c>
      <c r="AT27">
        <v>0.01</v>
      </c>
      <c r="AU27" t="s">
        <v>387</v>
      </c>
      <c r="AV27">
        <v>1</v>
      </c>
      <c r="AW27">
        <v>2</v>
      </c>
      <c r="AX27">
        <v>78397577</v>
      </c>
      <c r="AY27">
        <v>1</v>
      </c>
      <c r="AZ27">
        <v>0</v>
      </c>
      <c r="BA27">
        <v>28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6.6199999999999995E-2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0</v>
      </c>
      <c r="BR27">
        <v>0.16550000000000001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f>ROUND(Y27*Source!I36*DO27,7)</f>
        <v>0</v>
      </c>
      <c r="CX27">
        <f>ROUND(Y27*Source!I36,7)</f>
        <v>1.3980000000000001E-4</v>
      </c>
      <c r="CY27">
        <f>AB27</f>
        <v>9.8000000000000007</v>
      </c>
      <c r="CZ27">
        <f>AF27</f>
        <v>6.62</v>
      </c>
      <c r="DA27">
        <f>AJ27</f>
        <v>1.48</v>
      </c>
      <c r="DB27">
        <f>ROUND((ROUND(AT27*CZ27,2)*ROUND((1.25*2),7)),6)</f>
        <v>0.17499999999999999</v>
      </c>
      <c r="DC27">
        <f>ROUND((ROUND(AT27*AG27,2)*ROUND((1.25*2),7)),6)</f>
        <v>0</v>
      </c>
      <c r="DD27" t="s">
        <v>332</v>
      </c>
      <c r="DE27" t="s">
        <v>332</v>
      </c>
      <c r="DF27">
        <f t="shared" si="13"/>
        <v>0</v>
      </c>
      <c r="DG27">
        <f>ROUND(ROUND(AF27*AJ27,2)*CX27,2)</f>
        <v>0</v>
      </c>
      <c r="DH27">
        <f t="shared" si="3"/>
        <v>0</v>
      </c>
      <c r="DI27">
        <f t="shared" si="4"/>
        <v>0</v>
      </c>
      <c r="DJ27">
        <f>DG27+DH27</f>
        <v>0</v>
      </c>
      <c r="DK27">
        <v>0</v>
      </c>
      <c r="DL27" t="s">
        <v>332</v>
      </c>
      <c r="DM27">
        <v>0</v>
      </c>
      <c r="DN27" t="s">
        <v>332</v>
      </c>
      <c r="DO27">
        <v>0</v>
      </c>
    </row>
    <row r="28" spans="1:119" x14ac:dyDescent="0.25">
      <c r="A28">
        <f>ROW(Source!A36)</f>
        <v>36</v>
      </c>
      <c r="B28">
        <v>78397139</v>
      </c>
      <c r="C28">
        <v>78397542</v>
      </c>
      <c r="D28">
        <v>70185936</v>
      </c>
      <c r="E28">
        <v>1</v>
      </c>
      <c r="F28">
        <v>1</v>
      </c>
      <c r="G28">
        <v>1</v>
      </c>
      <c r="H28">
        <v>2</v>
      </c>
      <c r="I28" t="s">
        <v>121</v>
      </c>
      <c r="J28" t="s">
        <v>660</v>
      </c>
      <c r="K28" t="s">
        <v>122</v>
      </c>
      <c r="L28">
        <v>1368</v>
      </c>
      <c r="N28">
        <v>1011</v>
      </c>
      <c r="O28" t="s">
        <v>59</v>
      </c>
      <c r="P28" t="s">
        <v>59</v>
      </c>
      <c r="Q28">
        <v>1</v>
      </c>
      <c r="W28">
        <v>0</v>
      </c>
      <c r="X28">
        <v>-318968462</v>
      </c>
      <c r="Y28">
        <f>(AT28*ROUND((1.25*2),7))</f>
        <v>2.5000000000000001E-2</v>
      </c>
      <c r="AA28">
        <v>0</v>
      </c>
      <c r="AB28">
        <v>1593.71</v>
      </c>
      <c r="AC28">
        <v>829.81</v>
      </c>
      <c r="AD28">
        <v>0</v>
      </c>
      <c r="AE28">
        <v>0</v>
      </c>
      <c r="AF28">
        <v>1593.71</v>
      </c>
      <c r="AG28">
        <v>829.81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332</v>
      </c>
      <c r="AT28">
        <v>0.01</v>
      </c>
      <c r="AU28" t="s">
        <v>387</v>
      </c>
      <c r="AV28">
        <v>1</v>
      </c>
      <c r="AW28">
        <v>2</v>
      </c>
      <c r="AX28">
        <v>78397578</v>
      </c>
      <c r="AY28">
        <v>1</v>
      </c>
      <c r="AZ28">
        <v>0</v>
      </c>
      <c r="BA28">
        <v>29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15.937099999999999</v>
      </c>
      <c r="BL28">
        <v>8.2980999999999998</v>
      </c>
      <c r="BM28">
        <v>0</v>
      </c>
      <c r="BN28">
        <v>0</v>
      </c>
      <c r="BO28">
        <v>0.01</v>
      </c>
      <c r="BP28">
        <v>1</v>
      </c>
      <c r="BQ28">
        <v>0</v>
      </c>
      <c r="BR28">
        <v>39.842750000000002</v>
      </c>
      <c r="BS28">
        <v>20.745249999999999</v>
      </c>
      <c r="BT28">
        <v>0</v>
      </c>
      <c r="BU28">
        <v>0</v>
      </c>
      <c r="BV28">
        <v>2.5000000000000001E-2</v>
      </c>
      <c r="BW28">
        <v>1</v>
      </c>
      <c r="CV28">
        <v>0</v>
      </c>
      <c r="CW28">
        <f>ROUND(Y28*Source!I36*DO28,7)</f>
        <v>1.3980000000000001E-4</v>
      </c>
      <c r="CX28">
        <f>ROUND(Y28*Source!I36,7)</f>
        <v>1.3980000000000001E-4</v>
      </c>
      <c r="CY28">
        <f>AB28</f>
        <v>1593.71</v>
      </c>
      <c r="CZ28">
        <f>AF28</f>
        <v>1593.71</v>
      </c>
      <c r="DA28">
        <f>AJ28</f>
        <v>1</v>
      </c>
      <c r="DB28">
        <f>ROUND((ROUND(AT28*CZ28,2)*ROUND((1.25*2),7)),6)</f>
        <v>39.85</v>
      </c>
      <c r="DC28">
        <f>ROUND((ROUND(AT28*AG28,2)*ROUND((1.25*2),7)),6)</f>
        <v>20.75</v>
      </c>
      <c r="DD28" t="s">
        <v>332</v>
      </c>
      <c r="DE28" t="s">
        <v>332</v>
      </c>
      <c r="DF28">
        <f t="shared" si="13"/>
        <v>0</v>
      </c>
      <c r="DG28">
        <f>ROUND(ROUND(AF28,2)*CX28,2)</f>
        <v>0.22</v>
      </c>
      <c r="DH28">
        <f t="shared" si="3"/>
        <v>0.12</v>
      </c>
      <c r="DI28">
        <f t="shared" si="4"/>
        <v>0</v>
      </c>
      <c r="DJ28">
        <f>DG28+DH28</f>
        <v>0.34</v>
      </c>
      <c r="DK28">
        <v>1</v>
      </c>
      <c r="DL28" t="s">
        <v>123</v>
      </c>
      <c r="DM28">
        <v>5</v>
      </c>
      <c r="DN28" t="s">
        <v>31</v>
      </c>
      <c r="DO28">
        <v>1</v>
      </c>
    </row>
    <row r="29" spans="1:119" x14ac:dyDescent="0.25">
      <c r="A29">
        <f>ROW(Source!A36)</f>
        <v>36</v>
      </c>
      <c r="B29">
        <v>78397139</v>
      </c>
      <c r="C29">
        <v>78397542</v>
      </c>
      <c r="D29">
        <v>70186665</v>
      </c>
      <c r="E29">
        <v>1</v>
      </c>
      <c r="F29">
        <v>1</v>
      </c>
      <c r="G29">
        <v>1</v>
      </c>
      <c r="H29">
        <v>2</v>
      </c>
      <c r="I29" t="s">
        <v>62</v>
      </c>
      <c r="J29" t="s">
        <v>650</v>
      </c>
      <c r="K29" t="s">
        <v>63</v>
      </c>
      <c r="L29">
        <v>1368</v>
      </c>
      <c r="N29">
        <v>1011</v>
      </c>
      <c r="O29" t="s">
        <v>59</v>
      </c>
      <c r="P29" t="s">
        <v>59</v>
      </c>
      <c r="Q29">
        <v>1</v>
      </c>
      <c r="W29">
        <v>0</v>
      </c>
      <c r="X29">
        <v>1032761012</v>
      </c>
      <c r="Y29">
        <f>(AT29*ROUND((1.25*2),7))</f>
        <v>2.5000000000000001E-2</v>
      </c>
      <c r="AA29">
        <v>0</v>
      </c>
      <c r="AB29">
        <v>643.29</v>
      </c>
      <c r="AC29">
        <v>722.05</v>
      </c>
      <c r="AD29">
        <v>0</v>
      </c>
      <c r="AE29">
        <v>0</v>
      </c>
      <c r="AF29">
        <v>643.29</v>
      </c>
      <c r="AG29">
        <v>722.05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332</v>
      </c>
      <c r="AT29">
        <v>0.01</v>
      </c>
      <c r="AU29" t="s">
        <v>387</v>
      </c>
      <c r="AV29">
        <v>1</v>
      </c>
      <c r="AW29">
        <v>2</v>
      </c>
      <c r="AX29">
        <v>78397579</v>
      </c>
      <c r="AY29">
        <v>1</v>
      </c>
      <c r="AZ29">
        <v>0</v>
      </c>
      <c r="BA29">
        <v>30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6.4329000000000001</v>
      </c>
      <c r="BL29">
        <v>7.2205000000000004</v>
      </c>
      <c r="BM29">
        <v>0</v>
      </c>
      <c r="BN29">
        <v>0</v>
      </c>
      <c r="BO29">
        <v>0.01</v>
      </c>
      <c r="BP29">
        <v>1</v>
      </c>
      <c r="BQ29">
        <v>0</v>
      </c>
      <c r="BR29">
        <v>16.082249999999998</v>
      </c>
      <c r="BS29">
        <v>18.05125</v>
      </c>
      <c r="BT29">
        <v>0</v>
      </c>
      <c r="BU29">
        <v>0</v>
      </c>
      <c r="BV29">
        <v>2.5000000000000001E-2</v>
      </c>
      <c r="BW29">
        <v>1</v>
      </c>
      <c r="CV29">
        <v>0</v>
      </c>
      <c r="CW29">
        <f>ROUND(Y29*Source!I36*DO29,7)</f>
        <v>1.3980000000000001E-4</v>
      </c>
      <c r="CX29">
        <f>ROUND(Y29*Source!I36,7)</f>
        <v>1.3980000000000001E-4</v>
      </c>
      <c r="CY29">
        <f>AB29</f>
        <v>643.29</v>
      </c>
      <c r="CZ29">
        <f>AF29</f>
        <v>643.29</v>
      </c>
      <c r="DA29">
        <f>AJ29</f>
        <v>1</v>
      </c>
      <c r="DB29">
        <f>ROUND((ROUND(AT29*CZ29,2)*ROUND((1.25*2),7)),6)</f>
        <v>16.074999999999999</v>
      </c>
      <c r="DC29">
        <f>ROUND((ROUND(AT29*AG29,2)*ROUND((1.25*2),7)),6)</f>
        <v>18.05</v>
      </c>
      <c r="DD29" t="s">
        <v>332</v>
      </c>
      <c r="DE29" t="s">
        <v>332</v>
      </c>
      <c r="DF29">
        <f t="shared" si="13"/>
        <v>0</v>
      </c>
      <c r="DG29">
        <f>ROUND(ROUND(AF29,2)*CX29,2)</f>
        <v>0.09</v>
      </c>
      <c r="DH29">
        <f t="shared" si="3"/>
        <v>0.1</v>
      </c>
      <c r="DI29">
        <f t="shared" si="4"/>
        <v>0</v>
      </c>
      <c r="DJ29">
        <f>DG29+DH29</f>
        <v>0.19</v>
      </c>
      <c r="DK29">
        <v>1</v>
      </c>
      <c r="DL29" t="s">
        <v>64</v>
      </c>
      <c r="DM29">
        <v>4</v>
      </c>
      <c r="DN29" t="s">
        <v>31</v>
      </c>
      <c r="DO29">
        <v>1</v>
      </c>
    </row>
    <row r="30" spans="1:119" x14ac:dyDescent="0.25">
      <c r="A30">
        <f>ROW(Source!A36)</f>
        <v>36</v>
      </c>
      <c r="B30">
        <v>78397139</v>
      </c>
      <c r="C30">
        <v>78397542</v>
      </c>
      <c r="D30">
        <v>70187216</v>
      </c>
      <c r="E30">
        <v>1</v>
      </c>
      <c r="F30">
        <v>1</v>
      </c>
      <c r="G30">
        <v>1</v>
      </c>
      <c r="H30">
        <v>2</v>
      </c>
      <c r="I30" t="s">
        <v>125</v>
      </c>
      <c r="J30" t="s">
        <v>661</v>
      </c>
      <c r="K30" t="s">
        <v>126</v>
      </c>
      <c r="L30">
        <v>1368</v>
      </c>
      <c r="N30">
        <v>1011</v>
      </c>
      <c r="O30" t="s">
        <v>59</v>
      </c>
      <c r="P30" t="s">
        <v>59</v>
      </c>
      <c r="Q30">
        <v>1</v>
      </c>
      <c r="W30">
        <v>0</v>
      </c>
      <c r="X30">
        <v>-717252656</v>
      </c>
      <c r="Y30">
        <f>(AT30*ROUND((1.25*2),7))</f>
        <v>2.8</v>
      </c>
      <c r="AA30">
        <v>0</v>
      </c>
      <c r="AB30">
        <v>5.83</v>
      </c>
      <c r="AC30">
        <v>0</v>
      </c>
      <c r="AD30">
        <v>0</v>
      </c>
      <c r="AE30">
        <v>0</v>
      </c>
      <c r="AF30">
        <v>4.5199999999999996</v>
      </c>
      <c r="AG30">
        <v>0</v>
      </c>
      <c r="AH30">
        <v>0</v>
      </c>
      <c r="AI30">
        <v>1</v>
      </c>
      <c r="AJ30">
        <v>1.29</v>
      </c>
      <c r="AK30">
        <v>1</v>
      </c>
      <c r="AL30">
        <v>1</v>
      </c>
      <c r="AM30">
        <v>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332</v>
      </c>
      <c r="AT30">
        <v>1.1200000000000001</v>
      </c>
      <c r="AU30" t="s">
        <v>387</v>
      </c>
      <c r="AV30">
        <v>1</v>
      </c>
      <c r="AW30">
        <v>2</v>
      </c>
      <c r="AX30">
        <v>78397580</v>
      </c>
      <c r="AY30">
        <v>1</v>
      </c>
      <c r="AZ30">
        <v>0</v>
      </c>
      <c r="BA30">
        <v>31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5.0624000000000002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0</v>
      </c>
      <c r="BR30">
        <v>12.656000000000001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f>ROUND(Y30*Source!I36*DO30,7)</f>
        <v>0</v>
      </c>
      <c r="CX30">
        <f>ROUND(Y30*Source!I36,7)</f>
        <v>1.5651999999999999E-2</v>
      </c>
      <c r="CY30">
        <f>AB30</f>
        <v>5.83</v>
      </c>
      <c r="CZ30">
        <f>AF30</f>
        <v>4.5199999999999996</v>
      </c>
      <c r="DA30">
        <f>AJ30</f>
        <v>1.29</v>
      </c>
      <c r="DB30">
        <f>ROUND((ROUND(AT30*CZ30,2)*ROUND((1.25*2),7)),6)</f>
        <v>12.65</v>
      </c>
      <c r="DC30">
        <f>ROUND((ROUND(AT30*AG30,2)*ROUND((1.25*2),7)),6)</f>
        <v>0</v>
      </c>
      <c r="DD30" t="s">
        <v>332</v>
      </c>
      <c r="DE30" t="s">
        <v>332</v>
      </c>
      <c r="DF30">
        <f t="shared" si="13"/>
        <v>0</v>
      </c>
      <c r="DG30">
        <f>ROUND(ROUND(AF30*AJ30,2)*CX30,2)</f>
        <v>0.09</v>
      </c>
      <c r="DH30">
        <f t="shared" si="3"/>
        <v>0</v>
      </c>
      <c r="DI30">
        <f t="shared" si="4"/>
        <v>0</v>
      </c>
      <c r="DJ30">
        <f>DG30+DH30</f>
        <v>0.09</v>
      </c>
      <c r="DK30">
        <v>0</v>
      </c>
      <c r="DL30" t="s">
        <v>332</v>
      </c>
      <c r="DM30">
        <v>0</v>
      </c>
      <c r="DN30" t="s">
        <v>332</v>
      </c>
      <c r="DO30">
        <v>0</v>
      </c>
    </row>
    <row r="31" spans="1:119" x14ac:dyDescent="0.25">
      <c r="A31">
        <f>ROW(Source!A36)</f>
        <v>36</v>
      </c>
      <c r="B31">
        <v>78397139</v>
      </c>
      <c r="C31">
        <v>78397542</v>
      </c>
      <c r="D31">
        <v>70156805</v>
      </c>
      <c r="E31">
        <v>1</v>
      </c>
      <c r="F31">
        <v>1</v>
      </c>
      <c r="G31">
        <v>1</v>
      </c>
      <c r="H31">
        <v>3</v>
      </c>
      <c r="I31" t="s">
        <v>127</v>
      </c>
      <c r="J31" t="s">
        <v>662</v>
      </c>
      <c r="K31" t="s">
        <v>128</v>
      </c>
      <c r="L31">
        <v>1348</v>
      </c>
      <c r="N31">
        <v>1009</v>
      </c>
      <c r="O31" t="s">
        <v>87</v>
      </c>
      <c r="P31" t="s">
        <v>87</v>
      </c>
      <c r="Q31">
        <v>1000</v>
      </c>
      <c r="W31">
        <v>0</v>
      </c>
      <c r="X31">
        <v>-1638446817</v>
      </c>
      <c r="Y31">
        <f>(AT31*ROUND(2,7))</f>
        <v>1.7999999999999999E-2</v>
      </c>
      <c r="AA31">
        <v>78971.429999999993</v>
      </c>
      <c r="AB31">
        <v>0</v>
      </c>
      <c r="AC31">
        <v>0</v>
      </c>
      <c r="AD31">
        <v>0</v>
      </c>
      <c r="AE31">
        <v>51280.15</v>
      </c>
      <c r="AF31">
        <v>0</v>
      </c>
      <c r="AG31">
        <v>0</v>
      </c>
      <c r="AH31">
        <v>0</v>
      </c>
      <c r="AI31">
        <v>1.54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332</v>
      </c>
      <c r="AT31">
        <v>8.9999999999999993E-3</v>
      </c>
      <c r="AU31" t="s">
        <v>386</v>
      </c>
      <c r="AV31">
        <v>0</v>
      </c>
      <c r="AW31">
        <v>2</v>
      </c>
      <c r="AX31">
        <v>78397581</v>
      </c>
      <c r="AY31">
        <v>1</v>
      </c>
      <c r="AZ31">
        <v>0</v>
      </c>
      <c r="BA31">
        <v>32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461.52134999999998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923.04269999999997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ROUND(Y31*Source!I36,7)</f>
        <v>1.0060000000000001E-4</v>
      </c>
      <c r="CY31">
        <f>AA31</f>
        <v>78971.429999999993</v>
      </c>
      <c r="CZ31">
        <f>AE31</f>
        <v>51280.15</v>
      </c>
      <c r="DA31">
        <f>AI31</f>
        <v>1.54</v>
      </c>
      <c r="DB31">
        <f>ROUND((ROUND(AT31*CZ31,2)*ROUND(2,7)),6)</f>
        <v>923.04</v>
      </c>
      <c r="DC31">
        <f>ROUND((ROUND(AT31*AG31,2)*ROUND(2,7)),6)</f>
        <v>0</v>
      </c>
      <c r="DD31" t="s">
        <v>332</v>
      </c>
      <c r="DE31" t="s">
        <v>332</v>
      </c>
      <c r="DF31">
        <f>ROUND(ROUND(AE31*AI31,2)*CX31,2)</f>
        <v>7.94</v>
      </c>
      <c r="DG31">
        <f>ROUND(ROUND(AF31,2)*CX31,2)</f>
        <v>0</v>
      </c>
      <c r="DH31">
        <f t="shared" si="3"/>
        <v>0</v>
      </c>
      <c r="DI31">
        <f t="shared" si="4"/>
        <v>0</v>
      </c>
      <c r="DJ31">
        <f>DF31</f>
        <v>7.94</v>
      </c>
      <c r="DK31">
        <v>0</v>
      </c>
      <c r="DL31" t="s">
        <v>332</v>
      </c>
      <c r="DM31">
        <v>0</v>
      </c>
      <c r="DN31" t="s">
        <v>332</v>
      </c>
      <c r="DO31">
        <v>0</v>
      </c>
    </row>
    <row r="32" spans="1:119" x14ac:dyDescent="0.25">
      <c r="A32">
        <f>ROW(Source!A36)</f>
        <v>36</v>
      </c>
      <c r="B32">
        <v>78397139</v>
      </c>
      <c r="C32">
        <v>78397542</v>
      </c>
      <c r="D32">
        <v>70157264</v>
      </c>
      <c r="E32">
        <v>1</v>
      </c>
      <c r="F32">
        <v>1</v>
      </c>
      <c r="G32">
        <v>1</v>
      </c>
      <c r="H32">
        <v>3</v>
      </c>
      <c r="I32" t="s">
        <v>129</v>
      </c>
      <c r="J32" t="s">
        <v>663</v>
      </c>
      <c r="K32" t="s">
        <v>130</v>
      </c>
      <c r="L32">
        <v>1348</v>
      </c>
      <c r="N32">
        <v>1009</v>
      </c>
      <c r="O32" t="s">
        <v>87</v>
      </c>
      <c r="P32" t="s">
        <v>87</v>
      </c>
      <c r="Q32">
        <v>1000</v>
      </c>
      <c r="W32">
        <v>0</v>
      </c>
      <c r="X32">
        <v>-159046778</v>
      </c>
      <c r="Y32">
        <f>(AT32*ROUND(2,7))</f>
        <v>3.0000000000000001E-3</v>
      </c>
      <c r="AA32">
        <v>109275.31</v>
      </c>
      <c r="AB32">
        <v>0</v>
      </c>
      <c r="AC32">
        <v>0</v>
      </c>
      <c r="AD32">
        <v>0</v>
      </c>
      <c r="AE32">
        <v>75885.63</v>
      </c>
      <c r="AF32">
        <v>0</v>
      </c>
      <c r="AG32">
        <v>0</v>
      </c>
      <c r="AH32">
        <v>0</v>
      </c>
      <c r="AI32">
        <v>1.44</v>
      </c>
      <c r="AJ32">
        <v>1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332</v>
      </c>
      <c r="AT32">
        <v>1.5E-3</v>
      </c>
      <c r="AU32" t="s">
        <v>386</v>
      </c>
      <c r="AV32">
        <v>0</v>
      </c>
      <c r="AW32">
        <v>2</v>
      </c>
      <c r="AX32">
        <v>78397582</v>
      </c>
      <c r="AY32">
        <v>1</v>
      </c>
      <c r="AZ32">
        <v>0</v>
      </c>
      <c r="BA32">
        <v>33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113.828445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227.65689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ROUND(Y32*Source!I36,7)</f>
        <v>1.6799999999999998E-5</v>
      </c>
      <c r="CY32">
        <f>AA32</f>
        <v>109275.31</v>
      </c>
      <c r="CZ32">
        <f>AE32</f>
        <v>75885.63</v>
      </c>
      <c r="DA32">
        <f>AI32</f>
        <v>1.44</v>
      </c>
      <c r="DB32">
        <f>ROUND((ROUND(AT32*CZ32,2)*ROUND(2,7)),6)</f>
        <v>227.66</v>
      </c>
      <c r="DC32">
        <f>ROUND((ROUND(AT32*AG32,2)*ROUND(2,7)),6)</f>
        <v>0</v>
      </c>
      <c r="DD32" t="s">
        <v>332</v>
      </c>
      <c r="DE32" t="s">
        <v>332</v>
      </c>
      <c r="DF32">
        <f>ROUND(ROUND(AE32*AI32,2)*CX32,2)</f>
        <v>1.84</v>
      </c>
      <c r="DG32">
        <f>ROUND(ROUND(AF32,2)*CX32,2)</f>
        <v>0</v>
      </c>
      <c r="DH32">
        <f t="shared" si="3"/>
        <v>0</v>
      </c>
      <c r="DI32">
        <f t="shared" si="4"/>
        <v>0</v>
      </c>
      <c r="DJ32">
        <f>DF32</f>
        <v>1.84</v>
      </c>
      <c r="DK32">
        <v>0</v>
      </c>
      <c r="DL32" t="s">
        <v>332</v>
      </c>
      <c r="DM32">
        <v>0</v>
      </c>
      <c r="DN32" t="s">
        <v>332</v>
      </c>
      <c r="DO32">
        <v>0</v>
      </c>
    </row>
    <row r="33" spans="1:119" x14ac:dyDescent="0.25">
      <c r="A33">
        <f>ROW(Source!A37)</f>
        <v>37</v>
      </c>
      <c r="B33">
        <v>78397139</v>
      </c>
      <c r="C33">
        <v>78397559</v>
      </c>
      <c r="D33">
        <v>28074754</v>
      </c>
      <c r="E33">
        <v>115</v>
      </c>
      <c r="F33">
        <v>1</v>
      </c>
      <c r="G33">
        <v>1</v>
      </c>
      <c r="H33">
        <v>1</v>
      </c>
      <c r="I33" t="s">
        <v>139</v>
      </c>
      <c r="J33" t="s">
        <v>332</v>
      </c>
      <c r="K33" t="s">
        <v>140</v>
      </c>
      <c r="L33">
        <v>1191</v>
      </c>
      <c r="N33">
        <v>1013</v>
      </c>
      <c r="O33" t="s">
        <v>31</v>
      </c>
      <c r="P33" t="s">
        <v>31</v>
      </c>
      <c r="Q33">
        <v>1</v>
      </c>
      <c r="W33">
        <v>0</v>
      </c>
      <c r="X33">
        <v>32079103</v>
      </c>
      <c r="Y33">
        <f>(AT33*ROUND(1.15,7))</f>
        <v>74.290000000000006</v>
      </c>
      <c r="AA33">
        <v>0</v>
      </c>
      <c r="AB33">
        <v>0</v>
      </c>
      <c r="AC33">
        <v>0</v>
      </c>
      <c r="AD33">
        <v>665.47</v>
      </c>
      <c r="AE33">
        <v>0</v>
      </c>
      <c r="AF33">
        <v>0</v>
      </c>
      <c r="AG33">
        <v>0</v>
      </c>
      <c r="AH33">
        <v>665.47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332</v>
      </c>
      <c r="AT33">
        <v>64.599999999999994</v>
      </c>
      <c r="AU33" t="s">
        <v>402</v>
      </c>
      <c r="AV33">
        <v>1</v>
      </c>
      <c r="AW33">
        <v>2</v>
      </c>
      <c r="AX33">
        <v>78397583</v>
      </c>
      <c r="AY33">
        <v>1</v>
      </c>
      <c r="AZ33">
        <v>0</v>
      </c>
      <c r="BA33">
        <v>34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42989.362000000001</v>
      </c>
      <c r="BN33">
        <v>64.599999999999994</v>
      </c>
      <c r="BO33">
        <v>0</v>
      </c>
      <c r="BP33">
        <v>1</v>
      </c>
      <c r="BQ33">
        <v>0</v>
      </c>
      <c r="BR33">
        <v>0</v>
      </c>
      <c r="BS33">
        <v>0</v>
      </c>
      <c r="BT33">
        <v>49437.766300000003</v>
      </c>
      <c r="BU33">
        <v>74.290000000000006</v>
      </c>
      <c r="BV33">
        <v>0</v>
      </c>
      <c r="BW33">
        <v>1</v>
      </c>
      <c r="CU33">
        <f>ROUND(AT33*Source!I37*AH33*AL33,2)</f>
        <v>240.31</v>
      </c>
      <c r="CV33">
        <f>ROUND(Y33*Source!I37,7)</f>
        <v>0.41528110000000001</v>
      </c>
      <c r="CW33">
        <v>0</v>
      </c>
      <c r="CX33">
        <f>ROUND(Y33*Source!I37,7)</f>
        <v>0.41528110000000001</v>
      </c>
      <c r="CY33">
        <f>AD33</f>
        <v>665.47</v>
      </c>
      <c r="CZ33">
        <f>AH33</f>
        <v>665.47</v>
      </c>
      <c r="DA33">
        <f>AL33</f>
        <v>1</v>
      </c>
      <c r="DB33">
        <f>ROUND((ROUND(AT33*CZ33,2)*ROUND(1.15,7)),6)</f>
        <v>49437.764000000003</v>
      </c>
      <c r="DC33">
        <f>ROUND((ROUND(AT33*AG33,2)*ROUND(1.15,7)),6)</f>
        <v>0</v>
      </c>
      <c r="DD33" t="s">
        <v>332</v>
      </c>
      <c r="DE33" t="s">
        <v>332</v>
      </c>
      <c r="DF33">
        <f>ROUND(ROUND(AE33,2)*CX33,2)</f>
        <v>0</v>
      </c>
      <c r="DG33">
        <f>ROUND(ROUND(AF33,2)*CX33,2)</f>
        <v>0</v>
      </c>
      <c r="DH33">
        <f t="shared" ref="DH33:DH64" si="14">ROUND(ROUND(AG33,2)*CX33,2)</f>
        <v>0</v>
      </c>
      <c r="DI33">
        <f t="shared" ref="DI33:DI64" si="15">ROUND(ROUND(AH33,2)*CX33,2)</f>
        <v>276.36</v>
      </c>
      <c r="DJ33">
        <f>DI33</f>
        <v>276.36</v>
      </c>
      <c r="DK33">
        <v>1</v>
      </c>
      <c r="DL33" t="s">
        <v>332</v>
      </c>
      <c r="DM33">
        <v>0</v>
      </c>
      <c r="DN33" t="s">
        <v>332</v>
      </c>
      <c r="DO33">
        <v>0</v>
      </c>
    </row>
    <row r="34" spans="1:119" x14ac:dyDescent="0.25">
      <c r="A34">
        <f>ROW(Source!A37)</f>
        <v>37</v>
      </c>
      <c r="B34">
        <v>78397139</v>
      </c>
      <c r="C34">
        <v>78397559</v>
      </c>
      <c r="D34">
        <v>28074654</v>
      </c>
      <c r="E34">
        <v>115</v>
      </c>
      <c r="F34">
        <v>1</v>
      </c>
      <c r="G34">
        <v>1</v>
      </c>
      <c r="H34">
        <v>1</v>
      </c>
      <c r="I34" t="s">
        <v>647</v>
      </c>
      <c r="J34" t="s">
        <v>332</v>
      </c>
      <c r="K34" t="s">
        <v>648</v>
      </c>
      <c r="L34">
        <v>1191</v>
      </c>
      <c r="N34">
        <v>1013</v>
      </c>
      <c r="O34" t="s">
        <v>31</v>
      </c>
      <c r="P34" t="s">
        <v>31</v>
      </c>
      <c r="Q34">
        <v>1</v>
      </c>
      <c r="W34">
        <v>0</v>
      </c>
      <c r="X34">
        <v>-1417349443</v>
      </c>
      <c r="Y34">
        <f>(AT34*ROUND(1.25,7))</f>
        <v>0.05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332</v>
      </c>
      <c r="AT34">
        <v>0.04</v>
      </c>
      <c r="AU34" t="s">
        <v>401</v>
      </c>
      <c r="AV34">
        <v>2</v>
      </c>
      <c r="AW34">
        <v>2</v>
      </c>
      <c r="AX34">
        <v>78397584</v>
      </c>
      <c r="AY34">
        <v>1</v>
      </c>
      <c r="AZ34">
        <v>0</v>
      </c>
      <c r="BA34">
        <v>35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ROUND(Y34*Source!I37,7)</f>
        <v>2.7950000000000002E-4</v>
      </c>
      <c r="CY34">
        <f>AD34</f>
        <v>0</v>
      </c>
      <c r="CZ34">
        <f>AH34</f>
        <v>0</v>
      </c>
      <c r="DA34">
        <f>AL34</f>
        <v>1</v>
      </c>
      <c r="DB34">
        <f>ROUND((ROUND(AT34*CZ34,2)*ROUND(1.25,7)),6)</f>
        <v>0</v>
      </c>
      <c r="DC34">
        <f>ROUND((ROUND(AT34*AG34,2)*ROUND(1.25,7)),6)</f>
        <v>0</v>
      </c>
      <c r="DD34" t="s">
        <v>332</v>
      </c>
      <c r="DE34" t="s">
        <v>332</v>
      </c>
      <c r="DF34">
        <f>ROUND(ROUND(AE34,2)*CX34,2)</f>
        <v>0</v>
      </c>
      <c r="DG34">
        <f>ROUND(ROUND(AF34,2)*CX34,2)</f>
        <v>0</v>
      </c>
      <c r="DH34">
        <f t="shared" si="14"/>
        <v>0</v>
      </c>
      <c r="DI34">
        <f t="shared" si="15"/>
        <v>0</v>
      </c>
      <c r="DJ34">
        <f>DI34</f>
        <v>0</v>
      </c>
      <c r="DK34">
        <v>0</v>
      </c>
      <c r="DL34" t="s">
        <v>332</v>
      </c>
      <c r="DM34">
        <v>0</v>
      </c>
      <c r="DN34" t="s">
        <v>332</v>
      </c>
      <c r="DO34">
        <v>0</v>
      </c>
    </row>
    <row r="35" spans="1:119" x14ac:dyDescent="0.25">
      <c r="A35">
        <f>ROW(Source!A37)</f>
        <v>37</v>
      </c>
      <c r="B35">
        <v>78397139</v>
      </c>
      <c r="C35">
        <v>78397559</v>
      </c>
      <c r="D35">
        <v>74331786</v>
      </c>
      <c r="E35">
        <v>1</v>
      </c>
      <c r="F35">
        <v>1</v>
      </c>
      <c r="G35">
        <v>1</v>
      </c>
      <c r="H35">
        <v>2</v>
      </c>
      <c r="I35" t="s">
        <v>57</v>
      </c>
      <c r="J35" t="s">
        <v>649</v>
      </c>
      <c r="K35" t="s">
        <v>58</v>
      </c>
      <c r="L35">
        <v>1368</v>
      </c>
      <c r="N35">
        <v>1011</v>
      </c>
      <c r="O35" t="s">
        <v>59</v>
      </c>
      <c r="P35" t="s">
        <v>59</v>
      </c>
      <c r="Q35">
        <v>1</v>
      </c>
      <c r="W35">
        <v>0</v>
      </c>
      <c r="X35">
        <v>-184590531</v>
      </c>
      <c r="Y35">
        <f>(AT35*ROUND(1.25,7))</f>
        <v>1.2500000000000001E-2</v>
      </c>
      <c r="AA35">
        <v>0</v>
      </c>
      <c r="AB35">
        <v>57.47</v>
      </c>
      <c r="AC35">
        <v>641.22</v>
      </c>
      <c r="AD35">
        <v>0</v>
      </c>
      <c r="AE35">
        <v>0</v>
      </c>
      <c r="AF35">
        <v>37.32</v>
      </c>
      <c r="AG35">
        <v>641.22</v>
      </c>
      <c r="AH35">
        <v>0</v>
      </c>
      <c r="AI35">
        <v>1</v>
      </c>
      <c r="AJ35">
        <v>1.54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332</v>
      </c>
      <c r="AT35">
        <v>0.01</v>
      </c>
      <c r="AU35" t="s">
        <v>401</v>
      </c>
      <c r="AV35">
        <v>1</v>
      </c>
      <c r="AW35">
        <v>2</v>
      </c>
      <c r="AX35">
        <v>78397585</v>
      </c>
      <c r="AY35">
        <v>1</v>
      </c>
      <c r="AZ35">
        <v>0</v>
      </c>
      <c r="BA35">
        <v>36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0.37319999999999998</v>
      </c>
      <c r="BL35">
        <v>6.4122000000000003</v>
      </c>
      <c r="BM35">
        <v>0</v>
      </c>
      <c r="BN35">
        <v>0</v>
      </c>
      <c r="BO35">
        <v>0.01</v>
      </c>
      <c r="BP35">
        <v>1</v>
      </c>
      <c r="BQ35">
        <v>0</v>
      </c>
      <c r="BR35">
        <v>0.46650000000000003</v>
      </c>
      <c r="BS35">
        <v>8.01525</v>
      </c>
      <c r="BT35">
        <v>0</v>
      </c>
      <c r="BU35">
        <v>0</v>
      </c>
      <c r="BV35">
        <v>1.2500000000000001E-2</v>
      </c>
      <c r="BW35">
        <v>1</v>
      </c>
      <c r="CV35">
        <v>0</v>
      </c>
      <c r="CW35">
        <f>ROUND(Y35*Source!I37*DO35,7)</f>
        <v>6.9900000000000005E-5</v>
      </c>
      <c r="CX35">
        <f>ROUND(Y35*Source!I37,7)</f>
        <v>6.9900000000000005E-5</v>
      </c>
      <c r="CY35">
        <f>AB35</f>
        <v>57.47</v>
      </c>
      <c r="CZ35">
        <f>AF35</f>
        <v>37.32</v>
      </c>
      <c r="DA35">
        <f>AJ35</f>
        <v>1.54</v>
      </c>
      <c r="DB35">
        <f>ROUND((ROUND(AT35*CZ35,2)*ROUND(1.25,7)),6)</f>
        <v>0.46250000000000002</v>
      </c>
      <c r="DC35">
        <f>ROUND((ROUND(AT35*AG35,2)*ROUND(1.25,7)),6)</f>
        <v>8.0124999999999993</v>
      </c>
      <c r="DD35" t="s">
        <v>332</v>
      </c>
      <c r="DE35" t="s">
        <v>332</v>
      </c>
      <c r="DF35">
        <f>ROUND(ROUND(AE35,2)*CX35,2)</f>
        <v>0</v>
      </c>
      <c r="DG35">
        <f>ROUND(ROUND(AF35*AJ35,2)*CX35,2)</f>
        <v>0</v>
      </c>
      <c r="DH35">
        <f t="shared" si="14"/>
        <v>0.04</v>
      </c>
      <c r="DI35">
        <f t="shared" si="15"/>
        <v>0</v>
      </c>
      <c r="DJ35">
        <f>DG35+DH35</f>
        <v>0.04</v>
      </c>
      <c r="DK35">
        <v>0</v>
      </c>
      <c r="DL35" t="s">
        <v>60</v>
      </c>
      <c r="DM35">
        <v>3</v>
      </c>
      <c r="DN35" t="s">
        <v>31</v>
      </c>
      <c r="DO35">
        <v>1</v>
      </c>
    </row>
    <row r="36" spans="1:119" x14ac:dyDescent="0.25">
      <c r="A36">
        <f>ROW(Source!A37)</f>
        <v>37</v>
      </c>
      <c r="B36">
        <v>78397139</v>
      </c>
      <c r="C36">
        <v>78397559</v>
      </c>
      <c r="D36">
        <v>74332500</v>
      </c>
      <c r="E36">
        <v>1</v>
      </c>
      <c r="F36">
        <v>1</v>
      </c>
      <c r="G36">
        <v>1</v>
      </c>
      <c r="H36">
        <v>2</v>
      </c>
      <c r="I36" t="s">
        <v>62</v>
      </c>
      <c r="J36" t="s">
        <v>650</v>
      </c>
      <c r="K36" t="s">
        <v>63</v>
      </c>
      <c r="L36">
        <v>1368</v>
      </c>
      <c r="N36">
        <v>1011</v>
      </c>
      <c r="O36" t="s">
        <v>59</v>
      </c>
      <c r="P36" t="s">
        <v>59</v>
      </c>
      <c r="Q36">
        <v>1</v>
      </c>
      <c r="W36">
        <v>0</v>
      </c>
      <c r="X36">
        <v>-1219940357</v>
      </c>
      <c r="Y36">
        <f>(AT36*ROUND(1.25,7))</f>
        <v>3.7499999999999999E-2</v>
      </c>
      <c r="AA36">
        <v>0</v>
      </c>
      <c r="AB36">
        <v>643.29</v>
      </c>
      <c r="AC36">
        <v>722.05</v>
      </c>
      <c r="AD36">
        <v>0</v>
      </c>
      <c r="AE36">
        <v>0</v>
      </c>
      <c r="AF36">
        <v>643.29</v>
      </c>
      <c r="AG36">
        <v>722.05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332</v>
      </c>
      <c r="AT36">
        <v>0.03</v>
      </c>
      <c r="AU36" t="s">
        <v>401</v>
      </c>
      <c r="AV36">
        <v>1</v>
      </c>
      <c r="AW36">
        <v>2</v>
      </c>
      <c r="AX36">
        <v>78397586</v>
      </c>
      <c r="AY36">
        <v>1</v>
      </c>
      <c r="AZ36">
        <v>0</v>
      </c>
      <c r="BA36">
        <v>37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19.2987</v>
      </c>
      <c r="BL36">
        <v>21.6615</v>
      </c>
      <c r="BM36">
        <v>0</v>
      </c>
      <c r="BN36">
        <v>0</v>
      </c>
      <c r="BO36">
        <v>0.03</v>
      </c>
      <c r="BP36">
        <v>1</v>
      </c>
      <c r="BQ36">
        <v>0</v>
      </c>
      <c r="BR36">
        <v>24.123374999999999</v>
      </c>
      <c r="BS36">
        <v>27.076875000000001</v>
      </c>
      <c r="BT36">
        <v>0</v>
      </c>
      <c r="BU36">
        <v>0</v>
      </c>
      <c r="BV36">
        <v>3.7499999999999999E-2</v>
      </c>
      <c r="BW36">
        <v>1</v>
      </c>
      <c r="CV36">
        <v>0</v>
      </c>
      <c r="CW36">
        <f>ROUND(Y36*Source!I37*DO36,7)</f>
        <v>2.096E-4</v>
      </c>
      <c r="CX36">
        <f>ROUND(Y36*Source!I37,7)</f>
        <v>2.096E-4</v>
      </c>
      <c r="CY36">
        <f>AB36</f>
        <v>643.29</v>
      </c>
      <c r="CZ36">
        <f>AF36</f>
        <v>643.29</v>
      </c>
      <c r="DA36">
        <f>AJ36</f>
        <v>1</v>
      </c>
      <c r="DB36">
        <f>ROUND((ROUND(AT36*CZ36,2)*ROUND(1.25,7)),6)</f>
        <v>24.125</v>
      </c>
      <c r="DC36">
        <f>ROUND((ROUND(AT36*AG36,2)*ROUND(1.25,7)),6)</f>
        <v>27.074999999999999</v>
      </c>
      <c r="DD36" t="s">
        <v>332</v>
      </c>
      <c r="DE36" t="s">
        <v>332</v>
      </c>
      <c r="DF36">
        <f>ROUND(ROUND(AE36,2)*CX36,2)</f>
        <v>0</v>
      </c>
      <c r="DG36">
        <f t="shared" ref="DG36:DG42" si="16">ROUND(ROUND(AF36,2)*CX36,2)</f>
        <v>0.13</v>
      </c>
      <c r="DH36">
        <f t="shared" si="14"/>
        <v>0.15</v>
      </c>
      <c r="DI36">
        <f t="shared" si="15"/>
        <v>0</v>
      </c>
      <c r="DJ36">
        <f>DG36+DH36</f>
        <v>0.28000000000000003</v>
      </c>
      <c r="DK36">
        <v>1</v>
      </c>
      <c r="DL36" t="s">
        <v>64</v>
      </c>
      <c r="DM36">
        <v>4</v>
      </c>
      <c r="DN36" t="s">
        <v>31</v>
      </c>
      <c r="DO36">
        <v>1</v>
      </c>
    </row>
    <row r="37" spans="1:119" x14ac:dyDescent="0.25">
      <c r="A37">
        <f>ROW(Source!A37)</f>
        <v>37</v>
      </c>
      <c r="B37">
        <v>78397139</v>
      </c>
      <c r="C37">
        <v>78397559</v>
      </c>
      <c r="D37">
        <v>74286122</v>
      </c>
      <c r="E37">
        <v>1</v>
      </c>
      <c r="F37">
        <v>1</v>
      </c>
      <c r="G37">
        <v>1</v>
      </c>
      <c r="H37">
        <v>3</v>
      </c>
      <c r="I37" t="s">
        <v>141</v>
      </c>
      <c r="J37" t="s">
        <v>664</v>
      </c>
      <c r="K37" t="s">
        <v>142</v>
      </c>
      <c r="L37">
        <v>1346</v>
      </c>
      <c r="N37">
        <v>1009</v>
      </c>
      <c r="O37" t="s">
        <v>111</v>
      </c>
      <c r="P37" t="s">
        <v>111</v>
      </c>
      <c r="Q37">
        <v>1</v>
      </c>
      <c r="W37">
        <v>0</v>
      </c>
      <c r="X37">
        <v>-1597827205</v>
      </c>
      <c r="Y37">
        <f>AT37</f>
        <v>0.3</v>
      </c>
      <c r="AA37">
        <v>86.41</v>
      </c>
      <c r="AB37">
        <v>0</v>
      </c>
      <c r="AC37">
        <v>0</v>
      </c>
      <c r="AD37">
        <v>0</v>
      </c>
      <c r="AE37">
        <v>56.11</v>
      </c>
      <c r="AF37">
        <v>0</v>
      </c>
      <c r="AG37">
        <v>0</v>
      </c>
      <c r="AH37">
        <v>0</v>
      </c>
      <c r="AI37">
        <v>1.54</v>
      </c>
      <c r="AJ37">
        <v>1</v>
      </c>
      <c r="AK37">
        <v>1</v>
      </c>
      <c r="AL37">
        <v>1</v>
      </c>
      <c r="AM37">
        <v>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332</v>
      </c>
      <c r="AT37">
        <v>0.3</v>
      </c>
      <c r="AU37" t="s">
        <v>332</v>
      </c>
      <c r="AV37">
        <v>0</v>
      </c>
      <c r="AW37">
        <v>2</v>
      </c>
      <c r="AX37">
        <v>78397587</v>
      </c>
      <c r="AY37">
        <v>1</v>
      </c>
      <c r="AZ37">
        <v>0</v>
      </c>
      <c r="BA37">
        <v>38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16.832999999999998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16.832999999999998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CV37">
        <v>0</v>
      </c>
      <c r="CW37">
        <v>0</v>
      </c>
      <c r="CX37">
        <f>ROUND(Y37*Source!I37,7)</f>
        <v>1.6770000000000001E-3</v>
      </c>
      <c r="CY37">
        <f>AA37</f>
        <v>86.41</v>
      </c>
      <c r="CZ37">
        <f>AE37</f>
        <v>56.11</v>
      </c>
      <c r="DA37">
        <f>AI37</f>
        <v>1.54</v>
      </c>
      <c r="DB37">
        <f>ROUND(ROUND(AT37*CZ37,2),6)</f>
        <v>16.829999999999998</v>
      </c>
      <c r="DC37">
        <f>ROUND(ROUND(AT37*AG37,2),6)</f>
        <v>0</v>
      </c>
      <c r="DD37" t="s">
        <v>332</v>
      </c>
      <c r="DE37" t="s">
        <v>332</v>
      </c>
      <c r="DF37">
        <f>ROUND(ROUND(AE37*AI37,2)*CX37,2)</f>
        <v>0.14000000000000001</v>
      </c>
      <c r="DG37">
        <f t="shared" si="16"/>
        <v>0</v>
      </c>
      <c r="DH37">
        <f t="shared" si="14"/>
        <v>0</v>
      </c>
      <c r="DI37">
        <f t="shared" si="15"/>
        <v>0</v>
      </c>
      <c r="DJ37">
        <f>DF37</f>
        <v>0.14000000000000001</v>
      </c>
      <c r="DK37">
        <v>0</v>
      </c>
      <c r="DL37" t="s">
        <v>332</v>
      </c>
      <c r="DM37">
        <v>0</v>
      </c>
      <c r="DN37" t="s">
        <v>332</v>
      </c>
      <c r="DO37">
        <v>0</v>
      </c>
    </row>
    <row r="38" spans="1:119" x14ac:dyDescent="0.25">
      <c r="A38">
        <f>ROW(Source!A37)</f>
        <v>37</v>
      </c>
      <c r="B38">
        <v>78397139</v>
      </c>
      <c r="C38">
        <v>78397559</v>
      </c>
      <c r="D38">
        <v>74302117</v>
      </c>
      <c r="E38">
        <v>1</v>
      </c>
      <c r="F38">
        <v>1</v>
      </c>
      <c r="G38">
        <v>1</v>
      </c>
      <c r="H38">
        <v>3</v>
      </c>
      <c r="I38" t="s">
        <v>408</v>
      </c>
      <c r="J38" t="s">
        <v>410</v>
      </c>
      <c r="K38" t="s">
        <v>409</v>
      </c>
      <c r="L38">
        <v>1348</v>
      </c>
      <c r="N38">
        <v>1009</v>
      </c>
      <c r="O38" t="s">
        <v>87</v>
      </c>
      <c r="P38" t="s">
        <v>87</v>
      </c>
      <c r="Q38">
        <v>1000</v>
      </c>
      <c r="W38">
        <v>0</v>
      </c>
      <c r="X38">
        <v>-2053071529</v>
      </c>
      <c r="Y38">
        <f>AT38</f>
        <v>2.46E-2</v>
      </c>
      <c r="AA38">
        <v>86539.43</v>
      </c>
      <c r="AB38">
        <v>0</v>
      </c>
      <c r="AC38">
        <v>0</v>
      </c>
      <c r="AD38">
        <v>0</v>
      </c>
      <c r="AE38">
        <v>61813.88</v>
      </c>
      <c r="AF38">
        <v>0</v>
      </c>
      <c r="AG38">
        <v>0</v>
      </c>
      <c r="AH38">
        <v>0</v>
      </c>
      <c r="AI38">
        <v>1.4</v>
      </c>
      <c r="AJ38">
        <v>1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0</v>
      </c>
      <c r="AR38">
        <v>0</v>
      </c>
      <c r="AS38" t="s">
        <v>332</v>
      </c>
      <c r="AT38">
        <v>2.46E-2</v>
      </c>
      <c r="AU38" t="s">
        <v>332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332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ROUND(Y38*Source!I37,7)</f>
        <v>1.3750000000000001E-4</v>
      </c>
      <c r="CY38">
        <f>AA38</f>
        <v>86539.43</v>
      </c>
      <c r="CZ38">
        <f>AE38</f>
        <v>61813.88</v>
      </c>
      <c r="DA38">
        <f>AI38</f>
        <v>1.4</v>
      </c>
      <c r="DB38">
        <f>ROUND(ROUND(AT38*CZ38,2),6)</f>
        <v>1520.62</v>
      </c>
      <c r="DC38">
        <f>ROUND(ROUND(AT38*AG38,2),6)</f>
        <v>0</v>
      </c>
      <c r="DD38" t="s">
        <v>332</v>
      </c>
      <c r="DE38" t="s">
        <v>332</v>
      </c>
      <c r="DF38">
        <f>ROUND(ROUND(AE38*AI38,2)*CX38,2)</f>
        <v>11.9</v>
      </c>
      <c r="DG38">
        <f t="shared" si="16"/>
        <v>0</v>
      </c>
      <c r="DH38">
        <f t="shared" si="14"/>
        <v>0</v>
      </c>
      <c r="DI38">
        <f t="shared" si="15"/>
        <v>0</v>
      </c>
      <c r="DJ38">
        <f>DF38</f>
        <v>11.9</v>
      </c>
      <c r="DK38">
        <v>0</v>
      </c>
      <c r="DL38" t="s">
        <v>332</v>
      </c>
      <c r="DM38">
        <v>0</v>
      </c>
      <c r="DN38" t="s">
        <v>332</v>
      </c>
      <c r="DO38">
        <v>0</v>
      </c>
    </row>
    <row r="39" spans="1:119" x14ac:dyDescent="0.25">
      <c r="A39">
        <f>ROW(Source!A37)</f>
        <v>37</v>
      </c>
      <c r="B39">
        <v>78397139</v>
      </c>
      <c r="C39">
        <v>78397559</v>
      </c>
      <c r="D39">
        <v>74302390</v>
      </c>
      <c r="E39">
        <v>1</v>
      </c>
      <c r="F39">
        <v>1</v>
      </c>
      <c r="G39">
        <v>1</v>
      </c>
      <c r="H39">
        <v>3</v>
      </c>
      <c r="I39" t="s">
        <v>143</v>
      </c>
      <c r="J39" t="s">
        <v>665</v>
      </c>
      <c r="K39" t="s">
        <v>144</v>
      </c>
      <c r="L39">
        <v>1346</v>
      </c>
      <c r="N39">
        <v>1009</v>
      </c>
      <c r="O39" t="s">
        <v>111</v>
      </c>
      <c r="P39" t="s">
        <v>111</v>
      </c>
      <c r="Q39">
        <v>1</v>
      </c>
      <c r="W39">
        <v>0</v>
      </c>
      <c r="X39">
        <v>2095200358</v>
      </c>
      <c r="Y39">
        <f>AT39</f>
        <v>2.7</v>
      </c>
      <c r="AA39">
        <v>159.97</v>
      </c>
      <c r="AB39">
        <v>0</v>
      </c>
      <c r="AC39">
        <v>0</v>
      </c>
      <c r="AD39">
        <v>0</v>
      </c>
      <c r="AE39">
        <v>133.31</v>
      </c>
      <c r="AF39">
        <v>0</v>
      </c>
      <c r="AG39">
        <v>0</v>
      </c>
      <c r="AH39">
        <v>0</v>
      </c>
      <c r="AI39">
        <v>1.2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332</v>
      </c>
      <c r="AT39">
        <v>2.7</v>
      </c>
      <c r="AU39" t="s">
        <v>332</v>
      </c>
      <c r="AV39">
        <v>0</v>
      </c>
      <c r="AW39">
        <v>2</v>
      </c>
      <c r="AX39">
        <v>78397589</v>
      </c>
      <c r="AY39">
        <v>1</v>
      </c>
      <c r="AZ39">
        <v>0</v>
      </c>
      <c r="BA39">
        <v>40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359.93700000000001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359.93700000000001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ROUND(Y39*Source!I37,7)</f>
        <v>1.5093000000000001E-2</v>
      </c>
      <c r="CY39">
        <f>AA39</f>
        <v>159.97</v>
      </c>
      <c r="CZ39">
        <f>AE39</f>
        <v>133.31</v>
      </c>
      <c r="DA39">
        <f>AI39</f>
        <v>1.2</v>
      </c>
      <c r="DB39">
        <f>ROUND(ROUND(AT39*CZ39,2),6)</f>
        <v>359.94</v>
      </c>
      <c r="DC39">
        <f>ROUND(ROUND(AT39*AG39,2),6)</f>
        <v>0</v>
      </c>
      <c r="DD39" t="s">
        <v>332</v>
      </c>
      <c r="DE39" t="s">
        <v>332</v>
      </c>
      <c r="DF39">
        <f>ROUND(ROUND(AE39*AI39,2)*CX39,2)</f>
        <v>2.41</v>
      </c>
      <c r="DG39">
        <f t="shared" si="16"/>
        <v>0</v>
      </c>
      <c r="DH39">
        <f t="shared" si="14"/>
        <v>0</v>
      </c>
      <c r="DI39">
        <f t="shared" si="15"/>
        <v>0</v>
      </c>
      <c r="DJ39">
        <f>DF39</f>
        <v>2.41</v>
      </c>
      <c r="DK39">
        <v>0</v>
      </c>
      <c r="DL39" t="s">
        <v>332</v>
      </c>
      <c r="DM39">
        <v>0</v>
      </c>
      <c r="DN39" t="s">
        <v>332</v>
      </c>
      <c r="DO39">
        <v>0</v>
      </c>
    </row>
    <row r="40" spans="1:119" x14ac:dyDescent="0.25">
      <c r="A40">
        <f>ROW(Source!A39)</f>
        <v>39</v>
      </c>
      <c r="B40">
        <v>78397139</v>
      </c>
      <c r="C40">
        <v>78397590</v>
      </c>
      <c r="D40">
        <v>77423774</v>
      </c>
      <c r="E40">
        <v>117</v>
      </c>
      <c r="F40">
        <v>1</v>
      </c>
      <c r="G40">
        <v>1</v>
      </c>
      <c r="H40">
        <v>1</v>
      </c>
      <c r="I40" t="s">
        <v>152</v>
      </c>
      <c r="J40" t="s">
        <v>332</v>
      </c>
      <c r="K40" t="s">
        <v>153</v>
      </c>
      <c r="L40">
        <v>1191</v>
      </c>
      <c r="N40">
        <v>1013</v>
      </c>
      <c r="O40" t="s">
        <v>31</v>
      </c>
      <c r="P40" t="s">
        <v>31</v>
      </c>
      <c r="Q40">
        <v>1</v>
      </c>
      <c r="W40">
        <v>0</v>
      </c>
      <c r="X40">
        <v>1733635447</v>
      </c>
      <c r="Y40">
        <f>(AT40*ROUND(1.15,7))</f>
        <v>21.217500000000001</v>
      </c>
      <c r="AA40">
        <v>0</v>
      </c>
      <c r="AB40">
        <v>0</v>
      </c>
      <c r="AC40">
        <v>0</v>
      </c>
      <c r="AD40">
        <v>689.72</v>
      </c>
      <c r="AE40">
        <v>0</v>
      </c>
      <c r="AF40">
        <v>0</v>
      </c>
      <c r="AG40">
        <v>0</v>
      </c>
      <c r="AH40">
        <v>689.72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332</v>
      </c>
      <c r="AT40">
        <v>18.45</v>
      </c>
      <c r="AU40" t="s">
        <v>402</v>
      </c>
      <c r="AV40">
        <v>1</v>
      </c>
      <c r="AW40">
        <v>2</v>
      </c>
      <c r="AX40">
        <v>78397591</v>
      </c>
      <c r="AY40">
        <v>1</v>
      </c>
      <c r="AZ40">
        <v>0</v>
      </c>
      <c r="BA40">
        <v>41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12725.334000000001</v>
      </c>
      <c r="BN40">
        <v>18.45</v>
      </c>
      <c r="BO40">
        <v>0</v>
      </c>
      <c r="BP40">
        <v>1</v>
      </c>
      <c r="BQ40">
        <v>0</v>
      </c>
      <c r="BR40">
        <v>0</v>
      </c>
      <c r="BS40">
        <v>0</v>
      </c>
      <c r="BT40">
        <v>14634.134099999999</v>
      </c>
      <c r="BU40">
        <v>21.217500000000001</v>
      </c>
      <c r="BV40">
        <v>0</v>
      </c>
      <c r="BW40">
        <v>1</v>
      </c>
      <c r="CU40">
        <f>ROUND(AT40*Source!I39*AH40*AL40,2)</f>
        <v>254.51</v>
      </c>
      <c r="CV40">
        <f>ROUND(Y40*Source!I39,7)</f>
        <v>0.42435</v>
      </c>
      <c r="CW40">
        <v>0</v>
      </c>
      <c r="CX40">
        <f>ROUND(Y40*Source!I39,7)</f>
        <v>0.42435</v>
      </c>
      <c r="CY40">
        <f>AD40</f>
        <v>689.72</v>
      </c>
      <c r="CZ40">
        <f>AH40</f>
        <v>689.72</v>
      </c>
      <c r="DA40">
        <f>AL40</f>
        <v>1</v>
      </c>
      <c r="DB40">
        <f>ROUND((ROUND(AT40*CZ40,2)*ROUND(1.15,7)),6)</f>
        <v>14634.129499999999</v>
      </c>
      <c r="DC40">
        <f>ROUND((ROUND(AT40*AG40,2)*ROUND(1.15,7)),6)</f>
        <v>0</v>
      </c>
      <c r="DD40" t="s">
        <v>332</v>
      </c>
      <c r="DE40" t="s">
        <v>332</v>
      </c>
      <c r="DF40">
        <f>ROUND(ROUND(AE40,2)*CX40,2)</f>
        <v>0</v>
      </c>
      <c r="DG40">
        <f t="shared" si="16"/>
        <v>0</v>
      </c>
      <c r="DH40">
        <f t="shared" si="14"/>
        <v>0</v>
      </c>
      <c r="DI40">
        <f t="shared" si="15"/>
        <v>292.68</v>
      </c>
      <c r="DJ40">
        <f>DI40</f>
        <v>292.68</v>
      </c>
      <c r="DK40">
        <v>1</v>
      </c>
      <c r="DL40" t="s">
        <v>332</v>
      </c>
      <c r="DM40">
        <v>0</v>
      </c>
      <c r="DN40" t="s">
        <v>332</v>
      </c>
      <c r="DO40">
        <v>0</v>
      </c>
    </row>
    <row r="41" spans="1:119" x14ac:dyDescent="0.25">
      <c r="A41">
        <f>ROW(Source!A39)</f>
        <v>39</v>
      </c>
      <c r="B41">
        <v>78397139</v>
      </c>
      <c r="C41">
        <v>78397590</v>
      </c>
      <c r="D41">
        <v>77423956</v>
      </c>
      <c r="E41">
        <v>117</v>
      </c>
      <c r="F41">
        <v>1</v>
      </c>
      <c r="G41">
        <v>1</v>
      </c>
      <c r="H41">
        <v>1</v>
      </c>
      <c r="I41" t="s">
        <v>647</v>
      </c>
      <c r="J41" t="s">
        <v>332</v>
      </c>
      <c r="K41" t="s">
        <v>648</v>
      </c>
      <c r="L41">
        <v>1191</v>
      </c>
      <c r="N41">
        <v>1013</v>
      </c>
      <c r="O41" t="s">
        <v>31</v>
      </c>
      <c r="P41" t="s">
        <v>31</v>
      </c>
      <c r="Q41">
        <v>1</v>
      </c>
      <c r="W41">
        <v>0</v>
      </c>
      <c r="X41">
        <v>-1417349443</v>
      </c>
      <c r="Y41">
        <f>(AT41*ROUND(1.25,7))</f>
        <v>0.46250000000000002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332</v>
      </c>
      <c r="AT41">
        <v>0.37</v>
      </c>
      <c r="AU41" t="s">
        <v>401</v>
      </c>
      <c r="AV41">
        <v>2</v>
      </c>
      <c r="AW41">
        <v>2</v>
      </c>
      <c r="AX41">
        <v>78397592</v>
      </c>
      <c r="AY41">
        <v>1</v>
      </c>
      <c r="AZ41">
        <v>0</v>
      </c>
      <c r="BA41">
        <v>42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ROUND(Y41*Source!I39,7)</f>
        <v>9.2499999999999995E-3</v>
      </c>
      <c r="CY41">
        <f>AD41</f>
        <v>0</v>
      </c>
      <c r="CZ41">
        <f>AH41</f>
        <v>0</v>
      </c>
      <c r="DA41">
        <f>AL41</f>
        <v>1</v>
      </c>
      <c r="DB41">
        <f>ROUND((ROUND(AT41*CZ41,2)*ROUND(1.25,7)),6)</f>
        <v>0</v>
      </c>
      <c r="DC41">
        <f>ROUND((ROUND(AT41*AG41,2)*ROUND(1.25,7)),6)</f>
        <v>0</v>
      </c>
      <c r="DD41" t="s">
        <v>332</v>
      </c>
      <c r="DE41" t="s">
        <v>332</v>
      </c>
      <c r="DF41">
        <f>ROUND(ROUND(AE41,2)*CX41,2)</f>
        <v>0</v>
      </c>
      <c r="DG41">
        <f t="shared" si="16"/>
        <v>0</v>
      </c>
      <c r="DH41">
        <f t="shared" si="14"/>
        <v>0</v>
      </c>
      <c r="DI41">
        <f t="shared" si="15"/>
        <v>0</v>
      </c>
      <c r="DJ41">
        <f>DI41</f>
        <v>0</v>
      </c>
      <c r="DK41">
        <v>0</v>
      </c>
      <c r="DL41" t="s">
        <v>332</v>
      </c>
      <c r="DM41">
        <v>0</v>
      </c>
      <c r="DN41" t="s">
        <v>332</v>
      </c>
      <c r="DO41">
        <v>0</v>
      </c>
    </row>
    <row r="42" spans="1:119" x14ac:dyDescent="0.25">
      <c r="A42">
        <f>ROW(Source!A39)</f>
        <v>39</v>
      </c>
      <c r="B42">
        <v>78397139</v>
      </c>
      <c r="C42">
        <v>78397590</v>
      </c>
      <c r="D42">
        <v>77431339</v>
      </c>
      <c r="E42">
        <v>1</v>
      </c>
      <c r="F42">
        <v>1</v>
      </c>
      <c r="G42">
        <v>1</v>
      </c>
      <c r="H42">
        <v>2</v>
      </c>
      <c r="I42" t="s">
        <v>62</v>
      </c>
      <c r="J42" t="s">
        <v>650</v>
      </c>
      <c r="K42" t="s">
        <v>63</v>
      </c>
      <c r="L42">
        <v>1368</v>
      </c>
      <c r="N42">
        <v>1011</v>
      </c>
      <c r="O42" t="s">
        <v>59</v>
      </c>
      <c r="P42" t="s">
        <v>59</v>
      </c>
      <c r="Q42">
        <v>1</v>
      </c>
      <c r="W42">
        <v>0</v>
      </c>
      <c r="X42">
        <v>-849950259</v>
      </c>
      <c r="Y42">
        <f>(AT42*ROUND(1.25,7))</f>
        <v>0.46250000000000002</v>
      </c>
      <c r="AA42">
        <v>0</v>
      </c>
      <c r="AB42">
        <v>643.29</v>
      </c>
      <c r="AC42">
        <v>722.05</v>
      </c>
      <c r="AD42">
        <v>0</v>
      </c>
      <c r="AE42">
        <v>0</v>
      </c>
      <c r="AF42">
        <v>643.29</v>
      </c>
      <c r="AG42">
        <v>722.05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332</v>
      </c>
      <c r="AT42">
        <v>0.37</v>
      </c>
      <c r="AU42" t="s">
        <v>401</v>
      </c>
      <c r="AV42">
        <v>1</v>
      </c>
      <c r="AW42">
        <v>2</v>
      </c>
      <c r="AX42">
        <v>78397593</v>
      </c>
      <c r="AY42">
        <v>1</v>
      </c>
      <c r="AZ42">
        <v>0</v>
      </c>
      <c r="BA42">
        <v>43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238.01730000000001</v>
      </c>
      <c r="BL42">
        <v>267.1585</v>
      </c>
      <c r="BM42">
        <v>0</v>
      </c>
      <c r="BN42">
        <v>0</v>
      </c>
      <c r="BO42">
        <v>0.37</v>
      </c>
      <c r="BP42">
        <v>1</v>
      </c>
      <c r="BQ42">
        <v>0</v>
      </c>
      <c r="BR42">
        <v>297.52162499999997</v>
      </c>
      <c r="BS42">
        <v>333.948125</v>
      </c>
      <c r="BT42">
        <v>0</v>
      </c>
      <c r="BU42">
        <v>0</v>
      </c>
      <c r="BV42">
        <v>0.46250000000000002</v>
      </c>
      <c r="BW42">
        <v>1</v>
      </c>
      <c r="CV42">
        <v>0</v>
      </c>
      <c r="CW42">
        <f>ROUND(Y42*Source!I39*DO42,7)</f>
        <v>9.2499999999999995E-3</v>
      </c>
      <c r="CX42">
        <f>ROUND(Y42*Source!I39,7)</f>
        <v>9.2499999999999995E-3</v>
      </c>
      <c r="CY42">
        <f>AB42</f>
        <v>643.29</v>
      </c>
      <c r="CZ42">
        <f>AF42</f>
        <v>643.29</v>
      </c>
      <c r="DA42">
        <f>AJ42</f>
        <v>1</v>
      </c>
      <c r="DB42">
        <f>ROUND((ROUND(AT42*CZ42,2)*ROUND(1.25,7)),6)</f>
        <v>297.52499999999998</v>
      </c>
      <c r="DC42">
        <f>ROUND((ROUND(AT42*AG42,2)*ROUND(1.25,7)),6)</f>
        <v>333.95</v>
      </c>
      <c r="DD42" t="s">
        <v>332</v>
      </c>
      <c r="DE42" t="s">
        <v>332</v>
      </c>
      <c r="DF42">
        <f>ROUND(ROUND(AE42,2)*CX42,2)</f>
        <v>0</v>
      </c>
      <c r="DG42">
        <f t="shared" si="16"/>
        <v>5.95</v>
      </c>
      <c r="DH42">
        <f t="shared" si="14"/>
        <v>6.68</v>
      </c>
      <c r="DI42">
        <f t="shared" si="15"/>
        <v>0</v>
      </c>
      <c r="DJ42">
        <f>DG42+DH42</f>
        <v>12.63</v>
      </c>
      <c r="DK42">
        <v>1</v>
      </c>
      <c r="DL42" t="s">
        <v>64</v>
      </c>
      <c r="DM42">
        <v>4</v>
      </c>
      <c r="DN42" t="s">
        <v>31</v>
      </c>
      <c r="DO42">
        <v>1</v>
      </c>
    </row>
    <row r="43" spans="1:119" x14ac:dyDescent="0.25">
      <c r="A43">
        <f>ROW(Source!A39)</f>
        <v>39</v>
      </c>
      <c r="B43">
        <v>78397139</v>
      </c>
      <c r="C43">
        <v>78397590</v>
      </c>
      <c r="D43">
        <v>77432088</v>
      </c>
      <c r="E43">
        <v>1</v>
      </c>
      <c r="F43">
        <v>1</v>
      </c>
      <c r="G43">
        <v>1</v>
      </c>
      <c r="H43">
        <v>2</v>
      </c>
      <c r="I43" t="s">
        <v>154</v>
      </c>
      <c r="J43" t="s">
        <v>666</v>
      </c>
      <c r="K43" t="s">
        <v>155</v>
      </c>
      <c r="L43">
        <v>1368</v>
      </c>
      <c r="N43">
        <v>1011</v>
      </c>
      <c r="O43" t="s">
        <v>59</v>
      </c>
      <c r="P43" t="s">
        <v>59</v>
      </c>
      <c r="Q43">
        <v>1</v>
      </c>
      <c r="W43">
        <v>0</v>
      </c>
      <c r="X43">
        <v>1277503555</v>
      </c>
      <c r="Y43">
        <f>(AT43*ROUND(1.25,7))</f>
        <v>1.4750000000000001</v>
      </c>
      <c r="AA43">
        <v>0</v>
      </c>
      <c r="AB43">
        <v>31.02</v>
      </c>
      <c r="AC43">
        <v>0</v>
      </c>
      <c r="AD43">
        <v>0</v>
      </c>
      <c r="AE43">
        <v>0</v>
      </c>
      <c r="AF43">
        <v>21.39</v>
      </c>
      <c r="AG43">
        <v>0</v>
      </c>
      <c r="AH43">
        <v>0</v>
      </c>
      <c r="AI43">
        <v>1</v>
      </c>
      <c r="AJ43">
        <v>1.45</v>
      </c>
      <c r="AK43">
        <v>1</v>
      </c>
      <c r="AL43">
        <v>1</v>
      </c>
      <c r="AM43">
        <v>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332</v>
      </c>
      <c r="AT43">
        <v>1.18</v>
      </c>
      <c r="AU43" t="s">
        <v>401</v>
      </c>
      <c r="AV43">
        <v>1</v>
      </c>
      <c r="AW43">
        <v>2</v>
      </c>
      <c r="AX43">
        <v>78397594</v>
      </c>
      <c r="AY43">
        <v>1</v>
      </c>
      <c r="AZ43">
        <v>0</v>
      </c>
      <c r="BA43">
        <v>44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25.240200000000002</v>
      </c>
      <c r="BL43">
        <v>0</v>
      </c>
      <c r="BM43">
        <v>0</v>
      </c>
      <c r="BN43">
        <v>0</v>
      </c>
      <c r="BO43">
        <v>0</v>
      </c>
      <c r="BP43">
        <v>1</v>
      </c>
      <c r="BQ43">
        <v>0</v>
      </c>
      <c r="BR43">
        <v>31.550249999999998</v>
      </c>
      <c r="BS43">
        <v>0</v>
      </c>
      <c r="BT43">
        <v>0</v>
      </c>
      <c r="BU43">
        <v>0</v>
      </c>
      <c r="BV43">
        <v>0</v>
      </c>
      <c r="BW43">
        <v>1</v>
      </c>
      <c r="CV43">
        <v>0</v>
      </c>
      <c r="CW43">
        <f>ROUND(Y43*Source!I39*DO43,7)</f>
        <v>0</v>
      </c>
      <c r="CX43">
        <f>ROUND(Y43*Source!I39,7)</f>
        <v>2.9499999999999998E-2</v>
      </c>
      <c r="CY43">
        <f>AB43</f>
        <v>31.02</v>
      </c>
      <c r="CZ43">
        <f>AF43</f>
        <v>21.39</v>
      </c>
      <c r="DA43">
        <f>AJ43</f>
        <v>1.45</v>
      </c>
      <c r="DB43">
        <f>ROUND((ROUND(AT43*CZ43,2)*ROUND(1.25,7)),6)</f>
        <v>31.55</v>
      </c>
      <c r="DC43">
        <f>ROUND((ROUND(AT43*AG43,2)*ROUND(1.25,7)),6)</f>
        <v>0</v>
      </c>
      <c r="DD43" t="s">
        <v>332</v>
      </c>
      <c r="DE43" t="s">
        <v>332</v>
      </c>
      <c r="DF43">
        <f>ROUND(ROUND(AE43,2)*CX43,2)</f>
        <v>0</v>
      </c>
      <c r="DG43">
        <f>ROUND(ROUND(AF43*AJ43,2)*CX43,2)</f>
        <v>0.92</v>
      </c>
      <c r="DH43">
        <f t="shared" si="14"/>
        <v>0</v>
      </c>
      <c r="DI43">
        <f t="shared" si="15"/>
        <v>0</v>
      </c>
      <c r="DJ43">
        <f>DG43+DH43</f>
        <v>0.92</v>
      </c>
      <c r="DK43">
        <v>0</v>
      </c>
      <c r="DL43" t="s">
        <v>332</v>
      </c>
      <c r="DM43">
        <v>0</v>
      </c>
      <c r="DN43" t="s">
        <v>332</v>
      </c>
      <c r="DO43">
        <v>0</v>
      </c>
    </row>
    <row r="44" spans="1:119" x14ac:dyDescent="0.25">
      <c r="A44">
        <f>ROW(Source!A39)</f>
        <v>39</v>
      </c>
      <c r="B44">
        <v>78397139</v>
      </c>
      <c r="C44">
        <v>78397590</v>
      </c>
      <c r="D44">
        <v>77499974</v>
      </c>
      <c r="E44">
        <v>1</v>
      </c>
      <c r="F44">
        <v>1</v>
      </c>
      <c r="G44">
        <v>1</v>
      </c>
      <c r="H44">
        <v>3</v>
      </c>
      <c r="I44" t="s">
        <v>156</v>
      </c>
      <c r="J44" t="s">
        <v>667</v>
      </c>
      <c r="K44" t="s">
        <v>157</v>
      </c>
      <c r="L44">
        <v>1348</v>
      </c>
      <c r="N44">
        <v>1009</v>
      </c>
      <c r="O44" t="s">
        <v>87</v>
      </c>
      <c r="P44" t="s">
        <v>87</v>
      </c>
      <c r="Q44">
        <v>1000</v>
      </c>
      <c r="W44">
        <v>0</v>
      </c>
      <c r="X44">
        <v>-112131680</v>
      </c>
      <c r="Y44">
        <f t="shared" ref="Y44:Y65" si="17">AT44</f>
        <v>4.0000000000000003E-5</v>
      </c>
      <c r="AA44">
        <v>339547.93</v>
      </c>
      <c r="AB44">
        <v>0</v>
      </c>
      <c r="AC44">
        <v>0</v>
      </c>
      <c r="AD44">
        <v>0</v>
      </c>
      <c r="AE44">
        <v>263215.45</v>
      </c>
      <c r="AF44">
        <v>0</v>
      </c>
      <c r="AG44">
        <v>0</v>
      </c>
      <c r="AH44">
        <v>0</v>
      </c>
      <c r="AI44">
        <v>1.29</v>
      </c>
      <c r="AJ44">
        <v>1</v>
      </c>
      <c r="AK44">
        <v>1</v>
      </c>
      <c r="AL44">
        <v>1</v>
      </c>
      <c r="AM44">
        <v>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332</v>
      </c>
      <c r="AT44">
        <v>4.0000000000000003E-5</v>
      </c>
      <c r="AU44" t="s">
        <v>332</v>
      </c>
      <c r="AV44">
        <v>0</v>
      </c>
      <c r="AW44">
        <v>2</v>
      </c>
      <c r="AX44">
        <v>78397595</v>
      </c>
      <c r="AY44">
        <v>1</v>
      </c>
      <c r="AZ44">
        <v>0</v>
      </c>
      <c r="BA44">
        <v>45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10.528618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1</v>
      </c>
      <c r="BQ44">
        <v>10.528618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1</v>
      </c>
      <c r="CV44">
        <v>0</v>
      </c>
      <c r="CW44">
        <v>0</v>
      </c>
      <c r="CX44">
        <f>ROUND(Y44*Source!I39,7)</f>
        <v>7.9999999999999996E-7</v>
      </c>
      <c r="CY44">
        <f t="shared" ref="CY44:CY49" si="18">AA44</f>
        <v>339547.93</v>
      </c>
      <c r="CZ44">
        <f t="shared" ref="CZ44:CZ49" si="19">AE44</f>
        <v>263215.45</v>
      </c>
      <c r="DA44">
        <f t="shared" ref="DA44:DA49" si="20">AI44</f>
        <v>1.29</v>
      </c>
      <c r="DB44">
        <f t="shared" ref="DB44:DB65" si="21">ROUND(ROUND(AT44*CZ44,2),6)</f>
        <v>10.53</v>
      </c>
      <c r="DC44">
        <f t="shared" ref="DC44:DC65" si="22">ROUND(ROUND(AT44*AG44,2),6)</f>
        <v>0</v>
      </c>
      <c r="DD44" t="s">
        <v>332</v>
      </c>
      <c r="DE44" t="s">
        <v>332</v>
      </c>
      <c r="DF44">
        <f>ROUND(ROUND(AE44*AI44,2)*CX44,2)</f>
        <v>0.27</v>
      </c>
      <c r="DG44">
        <f t="shared" ref="DG44:DG51" si="23">ROUND(ROUND(AF44,2)*CX44,2)</f>
        <v>0</v>
      </c>
      <c r="DH44">
        <f t="shared" si="14"/>
        <v>0</v>
      </c>
      <c r="DI44">
        <f t="shared" si="15"/>
        <v>0</v>
      </c>
      <c r="DJ44">
        <f t="shared" ref="DJ44:DJ49" si="24">DF44</f>
        <v>0.27</v>
      </c>
      <c r="DK44">
        <v>0</v>
      </c>
      <c r="DL44" t="s">
        <v>332</v>
      </c>
      <c r="DM44">
        <v>0</v>
      </c>
      <c r="DN44" t="s">
        <v>332</v>
      </c>
      <c r="DO44">
        <v>0</v>
      </c>
    </row>
    <row r="45" spans="1:119" x14ac:dyDescent="0.25">
      <c r="A45">
        <f>ROW(Source!A39)</f>
        <v>39</v>
      </c>
      <c r="B45">
        <v>78397139</v>
      </c>
      <c r="C45">
        <v>78397590</v>
      </c>
      <c r="D45">
        <v>77506748</v>
      </c>
      <c r="E45">
        <v>1</v>
      </c>
      <c r="F45">
        <v>1</v>
      </c>
      <c r="G45">
        <v>1</v>
      </c>
      <c r="H45">
        <v>3</v>
      </c>
      <c r="I45" t="s">
        <v>158</v>
      </c>
      <c r="J45" t="s">
        <v>668</v>
      </c>
      <c r="K45" t="s">
        <v>159</v>
      </c>
      <c r="L45">
        <v>1348</v>
      </c>
      <c r="N45">
        <v>1009</v>
      </c>
      <c r="O45" t="s">
        <v>87</v>
      </c>
      <c r="P45" t="s">
        <v>87</v>
      </c>
      <c r="Q45">
        <v>1000</v>
      </c>
      <c r="W45">
        <v>0</v>
      </c>
      <c r="X45">
        <v>-1626911935</v>
      </c>
      <c r="Y45">
        <f t="shared" si="17"/>
        <v>1.09E-2</v>
      </c>
      <c r="AA45">
        <v>66804.899999999994</v>
      </c>
      <c r="AB45">
        <v>0</v>
      </c>
      <c r="AC45">
        <v>0</v>
      </c>
      <c r="AD45">
        <v>0</v>
      </c>
      <c r="AE45">
        <v>89073.2</v>
      </c>
      <c r="AF45">
        <v>0</v>
      </c>
      <c r="AG45">
        <v>0</v>
      </c>
      <c r="AH45">
        <v>0</v>
      </c>
      <c r="AI45">
        <v>0.75</v>
      </c>
      <c r="AJ45">
        <v>1</v>
      </c>
      <c r="AK45">
        <v>1</v>
      </c>
      <c r="AL45">
        <v>1</v>
      </c>
      <c r="AM45">
        <v>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332</v>
      </c>
      <c r="AT45">
        <v>1.09E-2</v>
      </c>
      <c r="AU45" t="s">
        <v>332</v>
      </c>
      <c r="AV45">
        <v>0</v>
      </c>
      <c r="AW45">
        <v>2</v>
      </c>
      <c r="AX45">
        <v>78397596</v>
      </c>
      <c r="AY45">
        <v>1</v>
      </c>
      <c r="AZ45">
        <v>0</v>
      </c>
      <c r="BA45">
        <v>46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970.89787999999999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1</v>
      </c>
      <c r="BQ45">
        <v>970.89787999999999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1</v>
      </c>
      <c r="CV45">
        <v>0</v>
      </c>
      <c r="CW45">
        <v>0</v>
      </c>
      <c r="CX45">
        <f>ROUND(Y45*Source!I39,7)</f>
        <v>2.1800000000000001E-4</v>
      </c>
      <c r="CY45">
        <f t="shared" si="18"/>
        <v>66804.899999999994</v>
      </c>
      <c r="CZ45">
        <f t="shared" si="19"/>
        <v>89073.2</v>
      </c>
      <c r="DA45">
        <f t="shared" si="20"/>
        <v>0.75</v>
      </c>
      <c r="DB45">
        <f t="shared" si="21"/>
        <v>970.9</v>
      </c>
      <c r="DC45">
        <f t="shared" si="22"/>
        <v>0</v>
      </c>
      <c r="DD45" t="s">
        <v>332</v>
      </c>
      <c r="DE45" t="s">
        <v>332</v>
      </c>
      <c r="DF45">
        <f>ROUND(ROUND(AE45*AI45,2)*CX45,2)</f>
        <v>14.56</v>
      </c>
      <c r="DG45">
        <f t="shared" si="23"/>
        <v>0</v>
      </c>
      <c r="DH45">
        <f t="shared" si="14"/>
        <v>0</v>
      </c>
      <c r="DI45">
        <f t="shared" si="15"/>
        <v>0</v>
      </c>
      <c r="DJ45">
        <f t="shared" si="24"/>
        <v>14.56</v>
      </c>
      <c r="DK45">
        <v>0</v>
      </c>
      <c r="DL45" t="s">
        <v>332</v>
      </c>
      <c r="DM45">
        <v>0</v>
      </c>
      <c r="DN45" t="s">
        <v>332</v>
      </c>
      <c r="DO45">
        <v>0</v>
      </c>
    </row>
    <row r="46" spans="1:119" x14ac:dyDescent="0.25">
      <c r="A46">
        <f>ROW(Source!A39)</f>
        <v>39</v>
      </c>
      <c r="B46">
        <v>78397139</v>
      </c>
      <c r="C46">
        <v>78397590</v>
      </c>
      <c r="D46">
        <v>77506800</v>
      </c>
      <c r="E46">
        <v>1</v>
      </c>
      <c r="F46">
        <v>1</v>
      </c>
      <c r="G46">
        <v>1</v>
      </c>
      <c r="H46">
        <v>3</v>
      </c>
      <c r="I46" t="s">
        <v>160</v>
      </c>
      <c r="J46" t="s">
        <v>669</v>
      </c>
      <c r="K46" t="s">
        <v>161</v>
      </c>
      <c r="L46">
        <v>1348</v>
      </c>
      <c r="N46">
        <v>1009</v>
      </c>
      <c r="O46" t="s">
        <v>87</v>
      </c>
      <c r="P46" t="s">
        <v>87</v>
      </c>
      <c r="Q46">
        <v>1000</v>
      </c>
      <c r="W46">
        <v>0</v>
      </c>
      <c r="X46">
        <v>-803432117</v>
      </c>
      <c r="Y46">
        <f t="shared" si="17"/>
        <v>1.1000000000000001E-3</v>
      </c>
      <c r="AA46">
        <v>121801.16</v>
      </c>
      <c r="AB46">
        <v>0</v>
      </c>
      <c r="AC46">
        <v>0</v>
      </c>
      <c r="AD46">
        <v>0</v>
      </c>
      <c r="AE46">
        <v>129575.7</v>
      </c>
      <c r="AF46">
        <v>0</v>
      </c>
      <c r="AG46">
        <v>0</v>
      </c>
      <c r="AH46">
        <v>0</v>
      </c>
      <c r="AI46">
        <v>0.94</v>
      </c>
      <c r="AJ46">
        <v>1</v>
      </c>
      <c r="AK46">
        <v>1</v>
      </c>
      <c r="AL46">
        <v>1</v>
      </c>
      <c r="AM46">
        <v>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332</v>
      </c>
      <c r="AT46">
        <v>1.1000000000000001E-3</v>
      </c>
      <c r="AU46" t="s">
        <v>332</v>
      </c>
      <c r="AV46">
        <v>0</v>
      </c>
      <c r="AW46">
        <v>2</v>
      </c>
      <c r="AX46">
        <v>78397597</v>
      </c>
      <c r="AY46">
        <v>1</v>
      </c>
      <c r="AZ46">
        <v>0</v>
      </c>
      <c r="BA46">
        <v>47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142.53326999999999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1</v>
      </c>
      <c r="BQ46">
        <v>142.53326999999999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1</v>
      </c>
      <c r="CV46">
        <v>0</v>
      </c>
      <c r="CW46">
        <v>0</v>
      </c>
      <c r="CX46">
        <f>ROUND(Y46*Source!I39,7)</f>
        <v>2.1999999999999999E-5</v>
      </c>
      <c r="CY46">
        <f t="shared" si="18"/>
        <v>121801.16</v>
      </c>
      <c r="CZ46">
        <f t="shared" si="19"/>
        <v>129575.7</v>
      </c>
      <c r="DA46">
        <f t="shared" si="20"/>
        <v>0.94</v>
      </c>
      <c r="DB46">
        <f t="shared" si="21"/>
        <v>142.53</v>
      </c>
      <c r="DC46">
        <f t="shared" si="22"/>
        <v>0</v>
      </c>
      <c r="DD46" t="s">
        <v>332</v>
      </c>
      <c r="DE46" t="s">
        <v>332</v>
      </c>
      <c r="DF46">
        <f>ROUND(ROUND(AE46*AI46,2)*CX46,2)</f>
        <v>2.68</v>
      </c>
      <c r="DG46">
        <f t="shared" si="23"/>
        <v>0</v>
      </c>
      <c r="DH46">
        <f t="shared" si="14"/>
        <v>0</v>
      </c>
      <c r="DI46">
        <f t="shared" si="15"/>
        <v>0</v>
      </c>
      <c r="DJ46">
        <f t="shared" si="24"/>
        <v>2.68</v>
      </c>
      <c r="DK46">
        <v>0</v>
      </c>
      <c r="DL46" t="s">
        <v>332</v>
      </c>
      <c r="DM46">
        <v>0</v>
      </c>
      <c r="DN46" t="s">
        <v>332</v>
      </c>
      <c r="DO46">
        <v>0</v>
      </c>
    </row>
    <row r="47" spans="1:119" x14ac:dyDescent="0.25">
      <c r="A47">
        <f>ROW(Source!A39)</f>
        <v>39</v>
      </c>
      <c r="B47">
        <v>78397139</v>
      </c>
      <c r="C47">
        <v>78397590</v>
      </c>
      <c r="D47">
        <v>77506801</v>
      </c>
      <c r="E47">
        <v>1</v>
      </c>
      <c r="F47">
        <v>1</v>
      </c>
      <c r="G47">
        <v>1</v>
      </c>
      <c r="H47">
        <v>3</v>
      </c>
      <c r="I47" t="s">
        <v>162</v>
      </c>
      <c r="J47" t="s">
        <v>670</v>
      </c>
      <c r="K47" t="s">
        <v>163</v>
      </c>
      <c r="L47">
        <v>1348</v>
      </c>
      <c r="N47">
        <v>1009</v>
      </c>
      <c r="O47" t="s">
        <v>87</v>
      </c>
      <c r="P47" t="s">
        <v>87</v>
      </c>
      <c r="Q47">
        <v>1000</v>
      </c>
      <c r="W47">
        <v>0</v>
      </c>
      <c r="X47">
        <v>-1253800806</v>
      </c>
      <c r="Y47">
        <f t="shared" si="17"/>
        <v>4.0000000000000001E-3</v>
      </c>
      <c r="AA47">
        <v>82010.960000000006</v>
      </c>
      <c r="AB47">
        <v>0</v>
      </c>
      <c r="AC47">
        <v>0</v>
      </c>
      <c r="AD47">
        <v>0</v>
      </c>
      <c r="AE47">
        <v>87245.7</v>
      </c>
      <c r="AF47">
        <v>0</v>
      </c>
      <c r="AG47">
        <v>0</v>
      </c>
      <c r="AH47">
        <v>0</v>
      </c>
      <c r="AI47">
        <v>0.94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332</v>
      </c>
      <c r="AT47">
        <v>4.0000000000000001E-3</v>
      </c>
      <c r="AU47" t="s">
        <v>332</v>
      </c>
      <c r="AV47">
        <v>0</v>
      </c>
      <c r="AW47">
        <v>2</v>
      </c>
      <c r="AX47">
        <v>78397598</v>
      </c>
      <c r="AY47">
        <v>1</v>
      </c>
      <c r="AZ47">
        <v>0</v>
      </c>
      <c r="BA47">
        <v>48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348.9828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348.9828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8.0000000000000007E-5</v>
      </c>
      <c r="CY47">
        <f t="shared" si="18"/>
        <v>82010.960000000006</v>
      </c>
      <c r="CZ47">
        <f t="shared" si="19"/>
        <v>87245.7</v>
      </c>
      <c r="DA47">
        <f t="shared" si="20"/>
        <v>0.94</v>
      </c>
      <c r="DB47">
        <f t="shared" si="21"/>
        <v>348.98</v>
      </c>
      <c r="DC47">
        <f t="shared" si="22"/>
        <v>0</v>
      </c>
      <c r="DD47" t="s">
        <v>332</v>
      </c>
      <c r="DE47" t="s">
        <v>332</v>
      </c>
      <c r="DF47">
        <f>ROUND(ROUND(AE47*AI47,2)*CX47,2)</f>
        <v>6.56</v>
      </c>
      <c r="DG47">
        <f t="shared" si="23"/>
        <v>0</v>
      </c>
      <c r="DH47">
        <f t="shared" si="14"/>
        <v>0</v>
      </c>
      <c r="DI47">
        <f t="shared" si="15"/>
        <v>0</v>
      </c>
      <c r="DJ47">
        <f t="shared" si="24"/>
        <v>6.56</v>
      </c>
      <c r="DK47">
        <v>0</v>
      </c>
      <c r="DL47" t="s">
        <v>332</v>
      </c>
      <c r="DM47">
        <v>0</v>
      </c>
      <c r="DN47" t="s">
        <v>332</v>
      </c>
      <c r="DO47">
        <v>0</v>
      </c>
    </row>
    <row r="48" spans="1:119" x14ac:dyDescent="0.25">
      <c r="A48">
        <f>ROW(Source!A39)</f>
        <v>39</v>
      </c>
      <c r="B48">
        <v>78397139</v>
      </c>
      <c r="C48">
        <v>78397590</v>
      </c>
      <c r="D48">
        <v>77506958</v>
      </c>
      <c r="E48">
        <v>1</v>
      </c>
      <c r="F48">
        <v>1</v>
      </c>
      <c r="G48">
        <v>1</v>
      </c>
      <c r="H48">
        <v>3</v>
      </c>
      <c r="I48" t="s">
        <v>164</v>
      </c>
      <c r="J48" t="s">
        <v>671</v>
      </c>
      <c r="K48" t="s">
        <v>165</v>
      </c>
      <c r="L48">
        <v>1348</v>
      </c>
      <c r="N48">
        <v>1009</v>
      </c>
      <c r="O48" t="s">
        <v>87</v>
      </c>
      <c r="P48" t="s">
        <v>87</v>
      </c>
      <c r="Q48">
        <v>1000</v>
      </c>
      <c r="W48">
        <v>0</v>
      </c>
      <c r="X48">
        <v>-1548096700</v>
      </c>
      <c r="Y48">
        <f t="shared" si="17"/>
        <v>3.9E-2</v>
      </c>
      <c r="AA48">
        <v>75628.100000000006</v>
      </c>
      <c r="AB48">
        <v>0</v>
      </c>
      <c r="AC48">
        <v>0</v>
      </c>
      <c r="AD48">
        <v>0</v>
      </c>
      <c r="AE48">
        <v>75628.100000000006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332</v>
      </c>
      <c r="AT48">
        <v>3.9E-2</v>
      </c>
      <c r="AU48" t="s">
        <v>332</v>
      </c>
      <c r="AV48">
        <v>0</v>
      </c>
      <c r="AW48">
        <v>2</v>
      </c>
      <c r="AX48">
        <v>78397599</v>
      </c>
      <c r="AY48">
        <v>1</v>
      </c>
      <c r="AZ48">
        <v>0</v>
      </c>
      <c r="BA48">
        <v>49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2949.4958999999999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2949.4958999999999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1</v>
      </c>
      <c r="CV48">
        <v>0</v>
      </c>
      <c r="CW48">
        <v>0</v>
      </c>
      <c r="CX48">
        <f>ROUND(Y48*Source!I39,7)</f>
        <v>7.7999999999999999E-4</v>
      </c>
      <c r="CY48">
        <f t="shared" si="18"/>
        <v>75628.100000000006</v>
      </c>
      <c r="CZ48">
        <f t="shared" si="19"/>
        <v>75628.100000000006</v>
      </c>
      <c r="DA48">
        <f t="shared" si="20"/>
        <v>1</v>
      </c>
      <c r="DB48">
        <f t="shared" si="21"/>
        <v>2949.5</v>
      </c>
      <c r="DC48">
        <f t="shared" si="22"/>
        <v>0</v>
      </c>
      <c r="DD48" t="s">
        <v>332</v>
      </c>
      <c r="DE48" t="s">
        <v>332</v>
      </c>
      <c r="DF48">
        <f>ROUND(ROUND(AE48,2)*CX48,2)</f>
        <v>58.99</v>
      </c>
      <c r="DG48">
        <f t="shared" si="23"/>
        <v>0</v>
      </c>
      <c r="DH48">
        <f t="shared" si="14"/>
        <v>0</v>
      </c>
      <c r="DI48">
        <f t="shared" si="15"/>
        <v>0</v>
      </c>
      <c r="DJ48">
        <f t="shared" si="24"/>
        <v>58.99</v>
      </c>
      <c r="DK48">
        <v>1</v>
      </c>
      <c r="DL48" t="s">
        <v>332</v>
      </c>
      <c r="DM48">
        <v>0</v>
      </c>
      <c r="DN48" t="s">
        <v>332</v>
      </c>
      <c r="DO48">
        <v>0</v>
      </c>
    </row>
    <row r="49" spans="1:119" x14ac:dyDescent="0.25">
      <c r="A49">
        <f>ROW(Source!A39)</f>
        <v>39</v>
      </c>
      <c r="B49">
        <v>78397139</v>
      </c>
      <c r="C49">
        <v>78397590</v>
      </c>
      <c r="D49">
        <v>77511642</v>
      </c>
      <c r="E49">
        <v>1</v>
      </c>
      <c r="F49">
        <v>1</v>
      </c>
      <c r="G49">
        <v>1</v>
      </c>
      <c r="H49">
        <v>3</v>
      </c>
      <c r="I49" t="s">
        <v>419</v>
      </c>
      <c r="J49" t="s">
        <v>421</v>
      </c>
      <c r="K49" t="s">
        <v>420</v>
      </c>
      <c r="L49">
        <v>1301</v>
      </c>
      <c r="N49">
        <v>1003</v>
      </c>
      <c r="O49" t="s">
        <v>69</v>
      </c>
      <c r="P49" t="s">
        <v>69</v>
      </c>
      <c r="Q49">
        <v>1</v>
      </c>
      <c r="W49">
        <v>0</v>
      </c>
      <c r="X49">
        <v>-1173505752</v>
      </c>
      <c r="Y49">
        <f t="shared" si="17"/>
        <v>103</v>
      </c>
      <c r="AA49">
        <v>508.61</v>
      </c>
      <c r="AB49">
        <v>0</v>
      </c>
      <c r="AC49">
        <v>0</v>
      </c>
      <c r="AD49">
        <v>0</v>
      </c>
      <c r="AE49">
        <v>368.56</v>
      </c>
      <c r="AF49">
        <v>0</v>
      </c>
      <c r="AG49">
        <v>0</v>
      </c>
      <c r="AH49">
        <v>0</v>
      </c>
      <c r="AI49">
        <v>1.38</v>
      </c>
      <c r="AJ49">
        <v>1</v>
      </c>
      <c r="AK49">
        <v>1</v>
      </c>
      <c r="AL49">
        <v>1</v>
      </c>
      <c r="AM49">
        <v>0</v>
      </c>
      <c r="AN49">
        <v>0</v>
      </c>
      <c r="AO49">
        <v>0</v>
      </c>
      <c r="AP49">
        <v>1</v>
      </c>
      <c r="AQ49">
        <v>0</v>
      </c>
      <c r="AR49">
        <v>0</v>
      </c>
      <c r="AS49" t="s">
        <v>332</v>
      </c>
      <c r="AT49">
        <v>103</v>
      </c>
      <c r="AU49" t="s">
        <v>332</v>
      </c>
      <c r="AV49">
        <v>0</v>
      </c>
      <c r="AW49">
        <v>1</v>
      </c>
      <c r="AX49">
        <v>-1</v>
      </c>
      <c r="AY49">
        <v>0</v>
      </c>
      <c r="AZ49">
        <v>0</v>
      </c>
      <c r="BA49" t="s">
        <v>332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ROUND(Y49*Source!I39,7)</f>
        <v>2.06</v>
      </c>
      <c r="CY49">
        <f t="shared" si="18"/>
        <v>508.61</v>
      </c>
      <c r="CZ49">
        <f t="shared" si="19"/>
        <v>368.56</v>
      </c>
      <c r="DA49">
        <f t="shared" si="20"/>
        <v>1.38</v>
      </c>
      <c r="DB49">
        <f t="shared" si="21"/>
        <v>37961.68</v>
      </c>
      <c r="DC49">
        <f t="shared" si="22"/>
        <v>0</v>
      </c>
      <c r="DD49" t="s">
        <v>332</v>
      </c>
      <c r="DE49" t="s">
        <v>332</v>
      </c>
      <c r="DF49">
        <f>ROUND(ROUND(AE49*AI49,2)*CX49,2)</f>
        <v>1047.74</v>
      </c>
      <c r="DG49">
        <f t="shared" si="23"/>
        <v>0</v>
      </c>
      <c r="DH49">
        <f t="shared" si="14"/>
        <v>0</v>
      </c>
      <c r="DI49">
        <f t="shared" si="15"/>
        <v>0</v>
      </c>
      <c r="DJ49">
        <f t="shared" si="24"/>
        <v>1047.74</v>
      </c>
      <c r="DK49">
        <v>0</v>
      </c>
      <c r="DL49" t="s">
        <v>332</v>
      </c>
      <c r="DM49">
        <v>0</v>
      </c>
      <c r="DN49" t="s">
        <v>332</v>
      </c>
      <c r="DO49">
        <v>0</v>
      </c>
    </row>
    <row r="50" spans="1:119" x14ac:dyDescent="0.25">
      <c r="A50">
        <f>ROW(Source!A76)</f>
        <v>76</v>
      </c>
      <c r="B50">
        <v>78397139</v>
      </c>
      <c r="C50">
        <v>78397618</v>
      </c>
      <c r="D50">
        <v>28080807</v>
      </c>
      <c r="E50">
        <v>117</v>
      </c>
      <c r="F50">
        <v>1</v>
      </c>
      <c r="G50">
        <v>1</v>
      </c>
      <c r="H50">
        <v>1</v>
      </c>
      <c r="I50" t="s">
        <v>96</v>
      </c>
      <c r="J50" t="s">
        <v>332</v>
      </c>
      <c r="K50" t="s">
        <v>97</v>
      </c>
      <c r="L50">
        <v>1191</v>
      </c>
      <c r="N50">
        <v>1013</v>
      </c>
      <c r="O50" t="s">
        <v>31</v>
      </c>
      <c r="P50" t="s">
        <v>31</v>
      </c>
      <c r="Q50">
        <v>1</v>
      </c>
      <c r="W50">
        <v>0</v>
      </c>
      <c r="X50">
        <v>888410196</v>
      </c>
      <c r="Y50">
        <f t="shared" si="17"/>
        <v>174.8</v>
      </c>
      <c r="AA50">
        <v>0</v>
      </c>
      <c r="AB50">
        <v>0</v>
      </c>
      <c r="AC50">
        <v>0</v>
      </c>
      <c r="AD50">
        <v>722.05</v>
      </c>
      <c r="AE50">
        <v>0</v>
      </c>
      <c r="AF50">
        <v>0</v>
      </c>
      <c r="AG50">
        <v>0</v>
      </c>
      <c r="AH50">
        <v>722.05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0</v>
      </c>
      <c r="AQ50">
        <v>1</v>
      </c>
      <c r="AR50">
        <v>0</v>
      </c>
      <c r="AS50" t="s">
        <v>332</v>
      </c>
      <c r="AT50">
        <v>174.8</v>
      </c>
      <c r="AU50" t="s">
        <v>332</v>
      </c>
      <c r="AV50">
        <v>1</v>
      </c>
      <c r="AW50">
        <v>2</v>
      </c>
      <c r="AX50">
        <v>78397631</v>
      </c>
      <c r="AY50">
        <v>1</v>
      </c>
      <c r="AZ50">
        <v>0</v>
      </c>
      <c r="BA50">
        <v>51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126214.34</v>
      </c>
      <c r="BN50">
        <v>174.8</v>
      </c>
      <c r="BO50">
        <v>0</v>
      </c>
      <c r="BP50">
        <v>1</v>
      </c>
      <c r="BQ50">
        <v>0</v>
      </c>
      <c r="BR50">
        <v>0</v>
      </c>
      <c r="BS50">
        <v>0</v>
      </c>
      <c r="BT50">
        <v>126214.34</v>
      </c>
      <c r="BU50">
        <v>174.8</v>
      </c>
      <c r="BV50">
        <v>0</v>
      </c>
      <c r="BW50">
        <v>1</v>
      </c>
      <c r="CU50">
        <f>ROUND(AT50*Source!I76*AH50*AL50,2)</f>
        <v>2524.29</v>
      </c>
      <c r="CV50">
        <f>ROUND(Y50*Source!I76,7)</f>
        <v>3.496</v>
      </c>
      <c r="CW50">
        <v>0</v>
      </c>
      <c r="CX50">
        <f>ROUND(Y50*Source!I76,7)</f>
        <v>3.496</v>
      </c>
      <c r="CY50">
        <f>AD50</f>
        <v>722.05</v>
      </c>
      <c r="CZ50">
        <f>AH50</f>
        <v>722.05</v>
      </c>
      <c r="DA50">
        <f>AL50</f>
        <v>1</v>
      </c>
      <c r="DB50">
        <f t="shared" si="21"/>
        <v>126214.34</v>
      </c>
      <c r="DC50">
        <f t="shared" si="22"/>
        <v>0</v>
      </c>
      <c r="DD50" t="s">
        <v>332</v>
      </c>
      <c r="DE50" t="s">
        <v>332</v>
      </c>
      <c r="DF50">
        <f t="shared" ref="DF50:DF55" si="25">ROUND(ROUND(AE50,2)*CX50,2)</f>
        <v>0</v>
      </c>
      <c r="DG50">
        <f t="shared" si="23"/>
        <v>0</v>
      </c>
      <c r="DH50">
        <f t="shared" si="14"/>
        <v>0</v>
      </c>
      <c r="DI50">
        <f t="shared" si="15"/>
        <v>2524.29</v>
      </c>
      <c r="DJ50">
        <f>DI50</f>
        <v>2524.29</v>
      </c>
      <c r="DK50">
        <v>1</v>
      </c>
      <c r="DL50" t="s">
        <v>332</v>
      </c>
      <c r="DM50">
        <v>0</v>
      </c>
      <c r="DN50" t="s">
        <v>332</v>
      </c>
      <c r="DO50">
        <v>0</v>
      </c>
    </row>
    <row r="51" spans="1:119" x14ac:dyDescent="0.25">
      <c r="A51">
        <f>ROW(Source!A76)</f>
        <v>76</v>
      </c>
      <c r="B51">
        <v>78397139</v>
      </c>
      <c r="C51">
        <v>78397618</v>
      </c>
      <c r="D51">
        <v>28074654</v>
      </c>
      <c r="E51">
        <v>117</v>
      </c>
      <c r="F51">
        <v>1</v>
      </c>
      <c r="G51">
        <v>1</v>
      </c>
      <c r="H51">
        <v>1</v>
      </c>
      <c r="I51" t="s">
        <v>647</v>
      </c>
      <c r="J51" t="s">
        <v>332</v>
      </c>
      <c r="K51" t="s">
        <v>648</v>
      </c>
      <c r="L51">
        <v>1191</v>
      </c>
      <c r="N51">
        <v>1013</v>
      </c>
      <c r="O51" t="s">
        <v>31</v>
      </c>
      <c r="P51" t="s">
        <v>31</v>
      </c>
      <c r="Q51">
        <v>1</v>
      </c>
      <c r="W51">
        <v>0</v>
      </c>
      <c r="X51">
        <v>-1417349443</v>
      </c>
      <c r="Y51">
        <f t="shared" si="17"/>
        <v>0.72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0</v>
      </c>
      <c r="AQ51">
        <v>1</v>
      </c>
      <c r="AR51">
        <v>0</v>
      </c>
      <c r="AS51" t="s">
        <v>332</v>
      </c>
      <c r="AT51">
        <v>0.72</v>
      </c>
      <c r="AU51" t="s">
        <v>332</v>
      </c>
      <c r="AV51">
        <v>2</v>
      </c>
      <c r="AW51">
        <v>2</v>
      </c>
      <c r="AX51">
        <v>78397632</v>
      </c>
      <c r="AY51">
        <v>1</v>
      </c>
      <c r="AZ51">
        <v>0</v>
      </c>
      <c r="BA51">
        <v>52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ROUND(Y51*Source!I76,7)</f>
        <v>1.44E-2</v>
      </c>
      <c r="CY51">
        <f>AD51</f>
        <v>0</v>
      </c>
      <c r="CZ51">
        <f>AH51</f>
        <v>0</v>
      </c>
      <c r="DA51">
        <f>AL51</f>
        <v>1</v>
      </c>
      <c r="DB51">
        <f t="shared" si="21"/>
        <v>0</v>
      </c>
      <c r="DC51">
        <f t="shared" si="22"/>
        <v>0</v>
      </c>
      <c r="DD51" t="s">
        <v>332</v>
      </c>
      <c r="DE51" t="s">
        <v>332</v>
      </c>
      <c r="DF51">
        <f t="shared" si="25"/>
        <v>0</v>
      </c>
      <c r="DG51">
        <f t="shared" si="23"/>
        <v>0</v>
      </c>
      <c r="DH51">
        <f t="shared" si="14"/>
        <v>0</v>
      </c>
      <c r="DI51">
        <f t="shared" si="15"/>
        <v>0</v>
      </c>
      <c r="DJ51">
        <f>DI51</f>
        <v>0</v>
      </c>
      <c r="DK51">
        <v>0</v>
      </c>
      <c r="DL51" t="s">
        <v>332</v>
      </c>
      <c r="DM51">
        <v>0</v>
      </c>
      <c r="DN51" t="s">
        <v>332</v>
      </c>
      <c r="DO51">
        <v>0</v>
      </c>
    </row>
    <row r="52" spans="1:119" x14ac:dyDescent="0.25">
      <c r="A52">
        <f>ROW(Source!A76)</f>
        <v>76</v>
      </c>
      <c r="B52">
        <v>78397139</v>
      </c>
      <c r="C52">
        <v>78397618</v>
      </c>
      <c r="D52">
        <v>77430632</v>
      </c>
      <c r="E52">
        <v>1</v>
      </c>
      <c r="F52">
        <v>1</v>
      </c>
      <c r="G52">
        <v>1</v>
      </c>
      <c r="H52">
        <v>2</v>
      </c>
      <c r="I52" t="s">
        <v>57</v>
      </c>
      <c r="J52" t="s">
        <v>649</v>
      </c>
      <c r="K52" t="s">
        <v>58</v>
      </c>
      <c r="L52">
        <v>1368</v>
      </c>
      <c r="N52">
        <v>1011</v>
      </c>
      <c r="O52" t="s">
        <v>59</v>
      </c>
      <c r="P52" t="s">
        <v>59</v>
      </c>
      <c r="Q52">
        <v>1</v>
      </c>
      <c r="W52">
        <v>0</v>
      </c>
      <c r="X52">
        <v>945201097</v>
      </c>
      <c r="Y52">
        <f t="shared" si="17"/>
        <v>0.36</v>
      </c>
      <c r="AA52">
        <v>0</v>
      </c>
      <c r="AB52">
        <v>57.47</v>
      </c>
      <c r="AC52">
        <v>641.22</v>
      </c>
      <c r="AD52">
        <v>0</v>
      </c>
      <c r="AE52">
        <v>0</v>
      </c>
      <c r="AF52">
        <v>37.32</v>
      </c>
      <c r="AG52">
        <v>641.22</v>
      </c>
      <c r="AH52">
        <v>0</v>
      </c>
      <c r="AI52">
        <v>1</v>
      </c>
      <c r="AJ52">
        <v>1.54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0</v>
      </c>
      <c r="AQ52">
        <v>1</v>
      </c>
      <c r="AR52">
        <v>0</v>
      </c>
      <c r="AS52" t="s">
        <v>332</v>
      </c>
      <c r="AT52">
        <v>0.36</v>
      </c>
      <c r="AU52" t="s">
        <v>332</v>
      </c>
      <c r="AV52">
        <v>1</v>
      </c>
      <c r="AW52">
        <v>2</v>
      </c>
      <c r="AX52">
        <v>78397633</v>
      </c>
      <c r="AY52">
        <v>1</v>
      </c>
      <c r="AZ52">
        <v>0</v>
      </c>
      <c r="BA52">
        <v>53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13.4352</v>
      </c>
      <c r="BL52">
        <v>230.83920000000001</v>
      </c>
      <c r="BM52">
        <v>0</v>
      </c>
      <c r="BN52">
        <v>0</v>
      </c>
      <c r="BO52">
        <v>0.36</v>
      </c>
      <c r="BP52">
        <v>1</v>
      </c>
      <c r="BQ52">
        <v>0</v>
      </c>
      <c r="BR52">
        <v>13.4352</v>
      </c>
      <c r="BS52">
        <v>230.83920000000001</v>
      </c>
      <c r="BT52">
        <v>0</v>
      </c>
      <c r="BU52">
        <v>0</v>
      </c>
      <c r="BV52">
        <v>0.36</v>
      </c>
      <c r="BW52">
        <v>1</v>
      </c>
      <c r="CV52">
        <v>0</v>
      </c>
      <c r="CW52">
        <f>ROUND(Y52*Source!I76*DO52,7)</f>
        <v>7.1999999999999998E-3</v>
      </c>
      <c r="CX52">
        <f>ROUND(Y52*Source!I76,7)</f>
        <v>7.1999999999999998E-3</v>
      </c>
      <c r="CY52">
        <f>AB52</f>
        <v>57.47</v>
      </c>
      <c r="CZ52">
        <f>AF52</f>
        <v>37.32</v>
      </c>
      <c r="DA52">
        <f>AJ52</f>
        <v>1.54</v>
      </c>
      <c r="DB52">
        <f t="shared" si="21"/>
        <v>13.44</v>
      </c>
      <c r="DC52">
        <f t="shared" si="22"/>
        <v>230.84</v>
      </c>
      <c r="DD52" t="s">
        <v>332</v>
      </c>
      <c r="DE52" t="s">
        <v>332</v>
      </c>
      <c r="DF52">
        <f t="shared" si="25"/>
        <v>0</v>
      </c>
      <c r="DG52">
        <f>ROUND(ROUND(AF52*AJ52,2)*CX52,2)</f>
        <v>0.41</v>
      </c>
      <c r="DH52">
        <f t="shared" si="14"/>
        <v>4.62</v>
      </c>
      <c r="DI52">
        <f t="shared" si="15"/>
        <v>0</v>
      </c>
      <c r="DJ52">
        <f>DG52+DH52</f>
        <v>5.03</v>
      </c>
      <c r="DK52">
        <v>0</v>
      </c>
      <c r="DL52" t="s">
        <v>60</v>
      </c>
      <c r="DM52">
        <v>3</v>
      </c>
      <c r="DN52" t="s">
        <v>31</v>
      </c>
      <c r="DO52">
        <v>1</v>
      </c>
    </row>
    <row r="53" spans="1:119" x14ac:dyDescent="0.25">
      <c r="A53">
        <f>ROW(Source!A76)</f>
        <v>76</v>
      </c>
      <c r="B53">
        <v>78397139</v>
      </c>
      <c r="C53">
        <v>78397618</v>
      </c>
      <c r="D53">
        <v>77431339</v>
      </c>
      <c r="E53">
        <v>1</v>
      </c>
      <c r="F53">
        <v>1</v>
      </c>
      <c r="G53">
        <v>1</v>
      </c>
      <c r="H53">
        <v>2</v>
      </c>
      <c r="I53" t="s">
        <v>62</v>
      </c>
      <c r="J53" t="s">
        <v>650</v>
      </c>
      <c r="K53" t="s">
        <v>63</v>
      </c>
      <c r="L53">
        <v>1368</v>
      </c>
      <c r="N53">
        <v>1011</v>
      </c>
      <c r="O53" t="s">
        <v>59</v>
      </c>
      <c r="P53" t="s">
        <v>59</v>
      </c>
      <c r="Q53">
        <v>1</v>
      </c>
      <c r="W53">
        <v>0</v>
      </c>
      <c r="X53">
        <v>-849950259</v>
      </c>
      <c r="Y53">
        <f t="shared" si="17"/>
        <v>0.36</v>
      </c>
      <c r="AA53">
        <v>0</v>
      </c>
      <c r="AB53">
        <v>643.29</v>
      </c>
      <c r="AC53">
        <v>722.05</v>
      </c>
      <c r="AD53">
        <v>0</v>
      </c>
      <c r="AE53">
        <v>0</v>
      </c>
      <c r="AF53">
        <v>643.29</v>
      </c>
      <c r="AG53">
        <v>722.05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0</v>
      </c>
      <c r="AQ53">
        <v>1</v>
      </c>
      <c r="AR53">
        <v>0</v>
      </c>
      <c r="AS53" t="s">
        <v>332</v>
      </c>
      <c r="AT53">
        <v>0.36</v>
      </c>
      <c r="AU53" t="s">
        <v>332</v>
      </c>
      <c r="AV53">
        <v>1</v>
      </c>
      <c r="AW53">
        <v>2</v>
      </c>
      <c r="AX53">
        <v>78397634</v>
      </c>
      <c r="AY53">
        <v>1</v>
      </c>
      <c r="AZ53">
        <v>0</v>
      </c>
      <c r="BA53">
        <v>54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231.58439999999999</v>
      </c>
      <c r="BL53">
        <v>259.93799999999999</v>
      </c>
      <c r="BM53">
        <v>0</v>
      </c>
      <c r="BN53">
        <v>0</v>
      </c>
      <c r="BO53">
        <v>0.36</v>
      </c>
      <c r="BP53">
        <v>1</v>
      </c>
      <c r="BQ53">
        <v>0</v>
      </c>
      <c r="BR53">
        <v>231.58439999999999</v>
      </c>
      <c r="BS53">
        <v>259.93799999999999</v>
      </c>
      <c r="BT53">
        <v>0</v>
      </c>
      <c r="BU53">
        <v>0</v>
      </c>
      <c r="BV53">
        <v>0.36</v>
      </c>
      <c r="BW53">
        <v>1</v>
      </c>
      <c r="CV53">
        <v>0</v>
      </c>
      <c r="CW53">
        <f>ROUND(Y53*Source!I76*DO53,7)</f>
        <v>7.1999999999999998E-3</v>
      </c>
      <c r="CX53">
        <f>ROUND(Y53*Source!I76,7)</f>
        <v>7.1999999999999998E-3</v>
      </c>
      <c r="CY53">
        <f>AB53</f>
        <v>643.29</v>
      </c>
      <c r="CZ53">
        <f>AF53</f>
        <v>643.29</v>
      </c>
      <c r="DA53">
        <f>AJ53</f>
        <v>1</v>
      </c>
      <c r="DB53">
        <f t="shared" si="21"/>
        <v>231.58</v>
      </c>
      <c r="DC53">
        <f t="shared" si="22"/>
        <v>259.94</v>
      </c>
      <c r="DD53" t="s">
        <v>332</v>
      </c>
      <c r="DE53" t="s">
        <v>332</v>
      </c>
      <c r="DF53">
        <f t="shared" si="25"/>
        <v>0</v>
      </c>
      <c r="DG53">
        <f>ROUND(ROUND(AF53,2)*CX53,2)</f>
        <v>4.63</v>
      </c>
      <c r="DH53">
        <f t="shared" si="14"/>
        <v>5.2</v>
      </c>
      <c r="DI53">
        <f t="shared" si="15"/>
        <v>0</v>
      </c>
      <c r="DJ53">
        <f>DG53+DH53</f>
        <v>9.83</v>
      </c>
      <c r="DK53">
        <v>1</v>
      </c>
      <c r="DL53" t="s">
        <v>64</v>
      </c>
      <c r="DM53">
        <v>4</v>
      </c>
      <c r="DN53" t="s">
        <v>31</v>
      </c>
      <c r="DO53">
        <v>1</v>
      </c>
    </row>
    <row r="54" spans="1:119" x14ac:dyDescent="0.25">
      <c r="A54">
        <f>ROW(Source!A76)</f>
        <v>76</v>
      </c>
      <c r="B54">
        <v>78397139</v>
      </c>
      <c r="C54">
        <v>78397618</v>
      </c>
      <c r="D54">
        <v>77431497</v>
      </c>
      <c r="E54">
        <v>1</v>
      </c>
      <c r="F54">
        <v>1</v>
      </c>
      <c r="G54">
        <v>1</v>
      </c>
      <c r="H54">
        <v>2</v>
      </c>
      <c r="I54" t="s">
        <v>98</v>
      </c>
      <c r="J54" t="s">
        <v>653</v>
      </c>
      <c r="K54" t="s">
        <v>99</v>
      </c>
      <c r="L54">
        <v>1368</v>
      </c>
      <c r="N54">
        <v>1011</v>
      </c>
      <c r="O54" t="s">
        <v>59</v>
      </c>
      <c r="P54" t="s">
        <v>59</v>
      </c>
      <c r="Q54">
        <v>1</v>
      </c>
      <c r="W54">
        <v>0</v>
      </c>
      <c r="X54">
        <v>-880363394</v>
      </c>
      <c r="Y54">
        <f t="shared" si="17"/>
        <v>8.9</v>
      </c>
      <c r="AA54">
        <v>0</v>
      </c>
      <c r="AB54">
        <v>5.35</v>
      </c>
      <c r="AC54">
        <v>0</v>
      </c>
      <c r="AD54">
        <v>0</v>
      </c>
      <c r="AE54">
        <v>0</v>
      </c>
      <c r="AF54">
        <v>4.3499999999999996</v>
      </c>
      <c r="AG54">
        <v>0</v>
      </c>
      <c r="AH54">
        <v>0</v>
      </c>
      <c r="AI54">
        <v>1</v>
      </c>
      <c r="AJ54">
        <v>1.23</v>
      </c>
      <c r="AK54">
        <v>1</v>
      </c>
      <c r="AL54">
        <v>1</v>
      </c>
      <c r="AM54">
        <v>2</v>
      </c>
      <c r="AN54">
        <v>0</v>
      </c>
      <c r="AO54">
        <v>0</v>
      </c>
      <c r="AP54">
        <v>0</v>
      </c>
      <c r="AQ54">
        <v>1</v>
      </c>
      <c r="AR54">
        <v>0</v>
      </c>
      <c r="AS54" t="s">
        <v>332</v>
      </c>
      <c r="AT54">
        <v>8.9</v>
      </c>
      <c r="AU54" t="s">
        <v>332</v>
      </c>
      <c r="AV54">
        <v>1</v>
      </c>
      <c r="AW54">
        <v>2</v>
      </c>
      <c r="AX54">
        <v>78397635</v>
      </c>
      <c r="AY54">
        <v>1</v>
      </c>
      <c r="AZ54">
        <v>0</v>
      </c>
      <c r="BA54">
        <v>55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38.715000000000003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0</v>
      </c>
      <c r="BR54">
        <v>38.715000000000003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f>ROUND(Y54*Source!I76*DO54,7)</f>
        <v>0</v>
      </c>
      <c r="CX54">
        <f>ROUND(Y54*Source!I76,7)</f>
        <v>0.17799999999999999</v>
      </c>
      <c r="CY54">
        <f>AB54</f>
        <v>5.35</v>
      </c>
      <c r="CZ54">
        <f>AF54</f>
        <v>4.3499999999999996</v>
      </c>
      <c r="DA54">
        <f>AJ54</f>
        <v>1.23</v>
      </c>
      <c r="DB54">
        <f t="shared" si="21"/>
        <v>38.72</v>
      </c>
      <c r="DC54">
        <f t="shared" si="22"/>
        <v>0</v>
      </c>
      <c r="DD54" t="s">
        <v>332</v>
      </c>
      <c r="DE54" t="s">
        <v>332</v>
      </c>
      <c r="DF54">
        <f t="shared" si="25"/>
        <v>0</v>
      </c>
      <c r="DG54">
        <f>ROUND(ROUND(AF54*AJ54,2)*CX54,2)</f>
        <v>0.95</v>
      </c>
      <c r="DH54">
        <f t="shared" si="14"/>
        <v>0</v>
      </c>
      <c r="DI54">
        <f t="shared" si="15"/>
        <v>0</v>
      </c>
      <c r="DJ54">
        <f>DG54+DH54</f>
        <v>0.95</v>
      </c>
      <c r="DK54">
        <v>0</v>
      </c>
      <c r="DL54" t="s">
        <v>332</v>
      </c>
      <c r="DM54">
        <v>0</v>
      </c>
      <c r="DN54" t="s">
        <v>332</v>
      </c>
      <c r="DO54">
        <v>0</v>
      </c>
    </row>
    <row r="55" spans="1:119" x14ac:dyDescent="0.25">
      <c r="A55">
        <f>ROW(Source!A76)</f>
        <v>76</v>
      </c>
      <c r="B55">
        <v>78397139</v>
      </c>
      <c r="C55">
        <v>78397618</v>
      </c>
      <c r="D55">
        <v>77431535</v>
      </c>
      <c r="E55">
        <v>1</v>
      </c>
      <c r="F55">
        <v>1</v>
      </c>
      <c r="G55">
        <v>1</v>
      </c>
      <c r="H55">
        <v>2</v>
      </c>
      <c r="I55" t="s">
        <v>100</v>
      </c>
      <c r="J55" t="s">
        <v>654</v>
      </c>
      <c r="K55" t="s">
        <v>101</v>
      </c>
      <c r="L55">
        <v>1368</v>
      </c>
      <c r="N55">
        <v>1011</v>
      </c>
      <c r="O55" t="s">
        <v>59</v>
      </c>
      <c r="P55" t="s">
        <v>59</v>
      </c>
      <c r="Q55">
        <v>1</v>
      </c>
      <c r="W55">
        <v>0</v>
      </c>
      <c r="X55">
        <v>303316554</v>
      </c>
      <c r="Y55">
        <f t="shared" si="17"/>
        <v>25.9</v>
      </c>
      <c r="AA55">
        <v>0</v>
      </c>
      <c r="AB55">
        <v>32.26</v>
      </c>
      <c r="AC55">
        <v>0</v>
      </c>
      <c r="AD55">
        <v>0</v>
      </c>
      <c r="AE55">
        <v>0</v>
      </c>
      <c r="AF55">
        <v>32.26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0</v>
      </c>
      <c r="AQ55">
        <v>1</v>
      </c>
      <c r="AR55">
        <v>0</v>
      </c>
      <c r="AS55" t="s">
        <v>332</v>
      </c>
      <c r="AT55">
        <v>25.9</v>
      </c>
      <c r="AU55" t="s">
        <v>332</v>
      </c>
      <c r="AV55">
        <v>1</v>
      </c>
      <c r="AW55">
        <v>2</v>
      </c>
      <c r="AX55">
        <v>78397636</v>
      </c>
      <c r="AY55">
        <v>1</v>
      </c>
      <c r="AZ55">
        <v>0</v>
      </c>
      <c r="BA55">
        <v>56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835.53399999999999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835.53399999999999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f>ROUND(Y55*Source!I76*DO55,7)</f>
        <v>0</v>
      </c>
      <c r="CX55">
        <f>ROUND(Y55*Source!I76,7)</f>
        <v>0.51800000000000002</v>
      </c>
      <c r="CY55">
        <f>AB55</f>
        <v>32.26</v>
      </c>
      <c r="CZ55">
        <f>AF55</f>
        <v>32.26</v>
      </c>
      <c r="DA55">
        <f>AJ55</f>
        <v>1</v>
      </c>
      <c r="DB55">
        <f t="shared" si="21"/>
        <v>835.53</v>
      </c>
      <c r="DC55">
        <f t="shared" si="22"/>
        <v>0</v>
      </c>
      <c r="DD55" t="s">
        <v>332</v>
      </c>
      <c r="DE55" t="s">
        <v>332</v>
      </c>
      <c r="DF55">
        <f t="shared" si="25"/>
        <v>0</v>
      </c>
      <c r="DG55">
        <f t="shared" ref="DG55:DG64" si="26">ROUND(ROUND(AF55,2)*CX55,2)</f>
        <v>16.71</v>
      </c>
      <c r="DH55">
        <f t="shared" si="14"/>
        <v>0</v>
      </c>
      <c r="DI55">
        <f t="shared" si="15"/>
        <v>0</v>
      </c>
      <c r="DJ55">
        <f>DG55+DH55</f>
        <v>16.71</v>
      </c>
      <c r="DK55">
        <v>1</v>
      </c>
      <c r="DL55" t="s">
        <v>332</v>
      </c>
      <c r="DM55">
        <v>0</v>
      </c>
      <c r="DN55" t="s">
        <v>332</v>
      </c>
      <c r="DO55">
        <v>0</v>
      </c>
    </row>
    <row r="56" spans="1:119" x14ac:dyDescent="0.25">
      <c r="A56">
        <f>ROW(Source!A76)</f>
        <v>76</v>
      </c>
      <c r="B56">
        <v>78397139</v>
      </c>
      <c r="C56">
        <v>78397618</v>
      </c>
      <c r="D56">
        <v>77496097</v>
      </c>
      <c r="E56">
        <v>1</v>
      </c>
      <c r="F56">
        <v>1</v>
      </c>
      <c r="G56">
        <v>1</v>
      </c>
      <c r="H56">
        <v>3</v>
      </c>
      <c r="I56" t="s">
        <v>102</v>
      </c>
      <c r="J56" t="s">
        <v>655</v>
      </c>
      <c r="K56" t="s">
        <v>103</v>
      </c>
      <c r="L56">
        <v>1339</v>
      </c>
      <c r="N56">
        <v>1007</v>
      </c>
      <c r="O56" t="s">
        <v>104</v>
      </c>
      <c r="P56" t="s">
        <v>104</v>
      </c>
      <c r="Q56">
        <v>1</v>
      </c>
      <c r="W56">
        <v>0</v>
      </c>
      <c r="X56">
        <v>-1693431674</v>
      </c>
      <c r="Y56">
        <f t="shared" si="17"/>
        <v>2.0499999999999998</v>
      </c>
      <c r="AA56">
        <v>510.62</v>
      </c>
      <c r="AB56">
        <v>0</v>
      </c>
      <c r="AC56">
        <v>0</v>
      </c>
      <c r="AD56">
        <v>0</v>
      </c>
      <c r="AE56">
        <v>340.41</v>
      </c>
      <c r="AF56">
        <v>0</v>
      </c>
      <c r="AG56">
        <v>0</v>
      </c>
      <c r="AH56">
        <v>0</v>
      </c>
      <c r="AI56">
        <v>1.5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0</v>
      </c>
      <c r="AQ56">
        <v>1</v>
      </c>
      <c r="AR56">
        <v>0</v>
      </c>
      <c r="AS56" t="s">
        <v>332</v>
      </c>
      <c r="AT56">
        <v>2.0499999999999998</v>
      </c>
      <c r="AU56" t="s">
        <v>332</v>
      </c>
      <c r="AV56">
        <v>0</v>
      </c>
      <c r="AW56">
        <v>2</v>
      </c>
      <c r="AX56">
        <v>78397637</v>
      </c>
      <c r="AY56">
        <v>1</v>
      </c>
      <c r="AZ56">
        <v>0</v>
      </c>
      <c r="BA56">
        <v>57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697.84050000000002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697.84050000000002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ROUND(Y56*Source!I76,7)</f>
        <v>4.1000000000000002E-2</v>
      </c>
      <c r="CY56">
        <f t="shared" ref="CY56:CY62" si="27">AA56</f>
        <v>510.62</v>
      </c>
      <c r="CZ56">
        <f t="shared" ref="CZ56:CZ62" si="28">AE56</f>
        <v>340.41</v>
      </c>
      <c r="DA56">
        <f t="shared" ref="DA56:DA62" si="29">AI56</f>
        <v>1.5</v>
      </c>
      <c r="DB56">
        <f t="shared" si="21"/>
        <v>697.84</v>
      </c>
      <c r="DC56">
        <f t="shared" si="22"/>
        <v>0</v>
      </c>
      <c r="DD56" t="s">
        <v>332</v>
      </c>
      <c r="DE56" t="s">
        <v>332</v>
      </c>
      <c r="DF56">
        <f>ROUND(ROUND(AE56*AI56,2)*CX56,2)</f>
        <v>20.94</v>
      </c>
      <c r="DG56">
        <f t="shared" si="26"/>
        <v>0</v>
      </c>
      <c r="DH56">
        <f t="shared" si="14"/>
        <v>0</v>
      </c>
      <c r="DI56">
        <f t="shared" si="15"/>
        <v>0</v>
      </c>
      <c r="DJ56">
        <f t="shared" ref="DJ56:DJ62" si="30">DF56</f>
        <v>20.94</v>
      </c>
      <c r="DK56">
        <v>0</v>
      </c>
      <c r="DL56" t="s">
        <v>332</v>
      </c>
      <c r="DM56">
        <v>0</v>
      </c>
      <c r="DN56" t="s">
        <v>332</v>
      </c>
      <c r="DO56">
        <v>0</v>
      </c>
    </row>
    <row r="57" spans="1:119" x14ac:dyDescent="0.25">
      <c r="A57">
        <f>ROW(Source!A76)</f>
        <v>76</v>
      </c>
      <c r="B57">
        <v>78397139</v>
      </c>
      <c r="C57">
        <v>78397618</v>
      </c>
      <c r="D57">
        <v>77496113</v>
      </c>
      <c r="E57">
        <v>1</v>
      </c>
      <c r="F57">
        <v>1</v>
      </c>
      <c r="G57">
        <v>1</v>
      </c>
      <c r="H57">
        <v>3</v>
      </c>
      <c r="I57" t="s">
        <v>105</v>
      </c>
      <c r="J57" t="s">
        <v>656</v>
      </c>
      <c r="K57" t="s">
        <v>106</v>
      </c>
      <c r="L57">
        <v>1339</v>
      </c>
      <c r="N57">
        <v>1007</v>
      </c>
      <c r="O57" t="s">
        <v>104</v>
      </c>
      <c r="P57" t="s">
        <v>104</v>
      </c>
      <c r="Q57">
        <v>1</v>
      </c>
      <c r="W57">
        <v>0</v>
      </c>
      <c r="X57">
        <v>-2058989610</v>
      </c>
      <c r="Y57">
        <f t="shared" si="17"/>
        <v>2.52</v>
      </c>
      <c r="AA57">
        <v>97.44</v>
      </c>
      <c r="AB57">
        <v>0</v>
      </c>
      <c r="AC57">
        <v>0</v>
      </c>
      <c r="AD57">
        <v>0</v>
      </c>
      <c r="AE57">
        <v>114.64</v>
      </c>
      <c r="AF57">
        <v>0</v>
      </c>
      <c r="AG57">
        <v>0</v>
      </c>
      <c r="AH57">
        <v>0</v>
      </c>
      <c r="AI57">
        <v>0.85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0</v>
      </c>
      <c r="AQ57">
        <v>1</v>
      </c>
      <c r="AR57">
        <v>0</v>
      </c>
      <c r="AS57" t="s">
        <v>332</v>
      </c>
      <c r="AT57">
        <v>2.52</v>
      </c>
      <c r="AU57" t="s">
        <v>332</v>
      </c>
      <c r="AV57">
        <v>0</v>
      </c>
      <c r="AW57">
        <v>2</v>
      </c>
      <c r="AX57">
        <v>78397638</v>
      </c>
      <c r="AY57">
        <v>1</v>
      </c>
      <c r="AZ57">
        <v>0</v>
      </c>
      <c r="BA57">
        <v>58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288.89280000000002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1</v>
      </c>
      <c r="BQ57">
        <v>288.89280000000002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CV57">
        <v>0</v>
      </c>
      <c r="CW57">
        <v>0</v>
      </c>
      <c r="CX57">
        <f>ROUND(Y57*Source!I76,7)</f>
        <v>5.04E-2</v>
      </c>
      <c r="CY57">
        <f t="shared" si="27"/>
        <v>97.44</v>
      </c>
      <c r="CZ57">
        <f t="shared" si="28"/>
        <v>114.64</v>
      </c>
      <c r="DA57">
        <f t="shared" si="29"/>
        <v>0.85</v>
      </c>
      <c r="DB57">
        <f t="shared" si="21"/>
        <v>288.89</v>
      </c>
      <c r="DC57">
        <f t="shared" si="22"/>
        <v>0</v>
      </c>
      <c r="DD57" t="s">
        <v>332</v>
      </c>
      <c r="DE57" t="s">
        <v>332</v>
      </c>
      <c r="DF57">
        <f>ROUND(ROUND(AE57*AI57,2)*CX57,2)</f>
        <v>4.91</v>
      </c>
      <c r="DG57">
        <f t="shared" si="26"/>
        <v>0</v>
      </c>
      <c r="DH57">
        <f t="shared" si="14"/>
        <v>0</v>
      </c>
      <c r="DI57">
        <f t="shared" si="15"/>
        <v>0</v>
      </c>
      <c r="DJ57">
        <f t="shared" si="30"/>
        <v>4.91</v>
      </c>
      <c r="DK57">
        <v>0</v>
      </c>
      <c r="DL57" t="s">
        <v>332</v>
      </c>
      <c r="DM57">
        <v>0</v>
      </c>
      <c r="DN57" t="s">
        <v>332</v>
      </c>
      <c r="DO57">
        <v>0</v>
      </c>
    </row>
    <row r="58" spans="1:119" x14ac:dyDescent="0.25">
      <c r="A58">
        <f>ROW(Source!A76)</f>
        <v>76</v>
      </c>
      <c r="B58">
        <v>78397139</v>
      </c>
      <c r="C58">
        <v>78397618</v>
      </c>
      <c r="D58">
        <v>77498725</v>
      </c>
      <c r="E58">
        <v>1</v>
      </c>
      <c r="F58">
        <v>1</v>
      </c>
      <c r="G58">
        <v>1</v>
      </c>
      <c r="H58">
        <v>3</v>
      </c>
      <c r="I58" t="s">
        <v>107</v>
      </c>
      <c r="J58" t="s">
        <v>657</v>
      </c>
      <c r="K58" t="s">
        <v>108</v>
      </c>
      <c r="L58">
        <v>1348</v>
      </c>
      <c r="N58">
        <v>1009</v>
      </c>
      <c r="O58" t="s">
        <v>87</v>
      </c>
      <c r="P58" t="s">
        <v>87</v>
      </c>
      <c r="Q58">
        <v>1000</v>
      </c>
      <c r="W58">
        <v>0</v>
      </c>
      <c r="X58">
        <v>651198489</v>
      </c>
      <c r="Y58">
        <f t="shared" si="17"/>
        <v>1E-3</v>
      </c>
      <c r="AA58">
        <v>108956.83</v>
      </c>
      <c r="AB58">
        <v>0</v>
      </c>
      <c r="AC58">
        <v>0</v>
      </c>
      <c r="AD58">
        <v>0</v>
      </c>
      <c r="AE58">
        <v>97282.880000000005</v>
      </c>
      <c r="AF58">
        <v>0</v>
      </c>
      <c r="AG58">
        <v>0</v>
      </c>
      <c r="AH58">
        <v>0</v>
      </c>
      <c r="AI58">
        <v>1.1200000000000001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0</v>
      </c>
      <c r="AQ58">
        <v>1</v>
      </c>
      <c r="AR58">
        <v>0</v>
      </c>
      <c r="AS58" t="s">
        <v>332</v>
      </c>
      <c r="AT58">
        <v>1E-3</v>
      </c>
      <c r="AU58" t="s">
        <v>332</v>
      </c>
      <c r="AV58">
        <v>0</v>
      </c>
      <c r="AW58">
        <v>2</v>
      </c>
      <c r="AX58">
        <v>78397639</v>
      </c>
      <c r="AY58">
        <v>1</v>
      </c>
      <c r="AZ58">
        <v>0</v>
      </c>
      <c r="BA58">
        <v>59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97.282880000000006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97.282880000000006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ROUND(Y58*Source!I76,7)</f>
        <v>2.0000000000000002E-5</v>
      </c>
      <c r="CY58">
        <f t="shared" si="27"/>
        <v>108956.83</v>
      </c>
      <c r="CZ58">
        <f t="shared" si="28"/>
        <v>97282.880000000005</v>
      </c>
      <c r="DA58">
        <f t="shared" si="29"/>
        <v>1.1200000000000001</v>
      </c>
      <c r="DB58">
        <f t="shared" si="21"/>
        <v>97.28</v>
      </c>
      <c r="DC58">
        <f t="shared" si="22"/>
        <v>0</v>
      </c>
      <c r="DD58" t="s">
        <v>332</v>
      </c>
      <c r="DE58" t="s">
        <v>332</v>
      </c>
      <c r="DF58">
        <f>ROUND(ROUND(AE58*AI58,2)*CX58,2)</f>
        <v>2.1800000000000002</v>
      </c>
      <c r="DG58">
        <f t="shared" si="26"/>
        <v>0</v>
      </c>
      <c r="DH58">
        <f t="shared" si="14"/>
        <v>0</v>
      </c>
      <c r="DI58">
        <f t="shared" si="15"/>
        <v>0</v>
      </c>
      <c r="DJ58">
        <f t="shared" si="30"/>
        <v>2.1800000000000002</v>
      </c>
      <c r="DK58">
        <v>0</v>
      </c>
      <c r="DL58" t="s">
        <v>332</v>
      </c>
      <c r="DM58">
        <v>0</v>
      </c>
      <c r="DN58" t="s">
        <v>332</v>
      </c>
      <c r="DO58">
        <v>0</v>
      </c>
    </row>
    <row r="59" spans="1:119" x14ac:dyDescent="0.25">
      <c r="A59">
        <f>ROW(Source!A76)</f>
        <v>76</v>
      </c>
      <c r="B59">
        <v>78397139</v>
      </c>
      <c r="C59">
        <v>78397618</v>
      </c>
      <c r="D59">
        <v>77498850</v>
      </c>
      <c r="E59">
        <v>1</v>
      </c>
      <c r="F59">
        <v>1</v>
      </c>
      <c r="G59">
        <v>1</v>
      </c>
      <c r="H59">
        <v>3</v>
      </c>
      <c r="I59" t="s">
        <v>109</v>
      </c>
      <c r="J59" t="s">
        <v>658</v>
      </c>
      <c r="K59" t="s">
        <v>110</v>
      </c>
      <c r="L59">
        <v>1346</v>
      </c>
      <c r="N59">
        <v>1009</v>
      </c>
      <c r="O59" t="s">
        <v>111</v>
      </c>
      <c r="P59" t="s">
        <v>111</v>
      </c>
      <c r="Q59">
        <v>1</v>
      </c>
      <c r="W59">
        <v>0</v>
      </c>
      <c r="X59">
        <v>-163259778</v>
      </c>
      <c r="Y59">
        <f t="shared" si="17"/>
        <v>6</v>
      </c>
      <c r="AA59">
        <v>121.39</v>
      </c>
      <c r="AB59">
        <v>0</v>
      </c>
      <c r="AC59">
        <v>0</v>
      </c>
      <c r="AD59">
        <v>0</v>
      </c>
      <c r="AE59">
        <v>155.63</v>
      </c>
      <c r="AF59">
        <v>0</v>
      </c>
      <c r="AG59">
        <v>0</v>
      </c>
      <c r="AH59">
        <v>0</v>
      </c>
      <c r="AI59">
        <v>0.78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0</v>
      </c>
      <c r="AQ59">
        <v>1</v>
      </c>
      <c r="AR59">
        <v>0</v>
      </c>
      <c r="AS59" t="s">
        <v>332</v>
      </c>
      <c r="AT59">
        <v>6</v>
      </c>
      <c r="AU59" t="s">
        <v>332</v>
      </c>
      <c r="AV59">
        <v>0</v>
      </c>
      <c r="AW59">
        <v>2</v>
      </c>
      <c r="AX59">
        <v>78397640</v>
      </c>
      <c r="AY59">
        <v>1</v>
      </c>
      <c r="AZ59">
        <v>0</v>
      </c>
      <c r="BA59">
        <v>60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933.78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933.78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ROUND(Y59*Source!I76,7)</f>
        <v>0.12</v>
      </c>
      <c r="CY59">
        <f t="shared" si="27"/>
        <v>121.39</v>
      </c>
      <c r="CZ59">
        <f t="shared" si="28"/>
        <v>155.63</v>
      </c>
      <c r="DA59">
        <f t="shared" si="29"/>
        <v>0.78</v>
      </c>
      <c r="DB59">
        <f t="shared" si="21"/>
        <v>933.78</v>
      </c>
      <c r="DC59">
        <f t="shared" si="22"/>
        <v>0</v>
      </c>
      <c r="DD59" t="s">
        <v>332</v>
      </c>
      <c r="DE59" t="s">
        <v>332</v>
      </c>
      <c r="DF59">
        <f>ROUND(ROUND(AE59*AI59,2)*CX59,2)</f>
        <v>14.57</v>
      </c>
      <c r="DG59">
        <f t="shared" si="26"/>
        <v>0</v>
      </c>
      <c r="DH59">
        <f t="shared" si="14"/>
        <v>0</v>
      </c>
      <c r="DI59">
        <f t="shared" si="15"/>
        <v>0</v>
      </c>
      <c r="DJ59">
        <f t="shared" si="30"/>
        <v>14.57</v>
      </c>
      <c r="DK59">
        <v>0</v>
      </c>
      <c r="DL59" t="s">
        <v>332</v>
      </c>
      <c r="DM59">
        <v>0</v>
      </c>
      <c r="DN59" t="s">
        <v>332</v>
      </c>
      <c r="DO59">
        <v>0</v>
      </c>
    </row>
    <row r="60" spans="1:119" x14ac:dyDescent="0.25">
      <c r="A60">
        <f>ROW(Source!A76)</f>
        <v>76</v>
      </c>
      <c r="B60">
        <v>78397139</v>
      </c>
      <c r="C60">
        <v>78397618</v>
      </c>
      <c r="D60">
        <v>77534592</v>
      </c>
      <c r="E60">
        <v>1</v>
      </c>
      <c r="F60">
        <v>1</v>
      </c>
      <c r="G60">
        <v>1</v>
      </c>
      <c r="H60">
        <v>3</v>
      </c>
      <c r="I60" t="s">
        <v>375</v>
      </c>
      <c r="J60" t="s">
        <v>377</v>
      </c>
      <c r="K60" t="s">
        <v>376</v>
      </c>
      <c r="L60">
        <v>1301</v>
      </c>
      <c r="N60">
        <v>1003</v>
      </c>
      <c r="O60" t="s">
        <v>69</v>
      </c>
      <c r="P60" t="s">
        <v>69</v>
      </c>
      <c r="Q60">
        <v>1</v>
      </c>
      <c r="W60">
        <v>0</v>
      </c>
      <c r="X60">
        <v>-1460447525</v>
      </c>
      <c r="Y60">
        <f t="shared" si="17"/>
        <v>100</v>
      </c>
      <c r="AA60">
        <v>768.33</v>
      </c>
      <c r="AB60">
        <v>0</v>
      </c>
      <c r="AC60">
        <v>0</v>
      </c>
      <c r="AD60">
        <v>0</v>
      </c>
      <c r="AE60">
        <v>960.41</v>
      </c>
      <c r="AF60">
        <v>0</v>
      </c>
      <c r="AG60">
        <v>0</v>
      </c>
      <c r="AH60">
        <v>0</v>
      </c>
      <c r="AI60">
        <v>0.8</v>
      </c>
      <c r="AJ60">
        <v>1</v>
      </c>
      <c r="AK60">
        <v>1</v>
      </c>
      <c r="AL60">
        <v>1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 t="s">
        <v>332</v>
      </c>
      <c r="AT60">
        <v>100</v>
      </c>
      <c r="AU60" t="s">
        <v>332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332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ROUND(Y60*Source!I76,7)</f>
        <v>2</v>
      </c>
      <c r="CY60">
        <f t="shared" si="27"/>
        <v>768.33</v>
      </c>
      <c r="CZ60">
        <f t="shared" si="28"/>
        <v>960.41</v>
      </c>
      <c r="DA60">
        <f t="shared" si="29"/>
        <v>0.8</v>
      </c>
      <c r="DB60">
        <f t="shared" si="21"/>
        <v>96041</v>
      </c>
      <c r="DC60">
        <f t="shared" si="22"/>
        <v>0</v>
      </c>
      <c r="DD60" t="s">
        <v>332</v>
      </c>
      <c r="DE60" t="s">
        <v>332</v>
      </c>
      <c r="DF60">
        <f>ROUND(ROUND(AE60*AI60,2)*CX60,2)</f>
        <v>1536.66</v>
      </c>
      <c r="DG60">
        <f t="shared" si="26"/>
        <v>0</v>
      </c>
      <c r="DH60">
        <f t="shared" si="14"/>
        <v>0</v>
      </c>
      <c r="DI60">
        <f t="shared" si="15"/>
        <v>0</v>
      </c>
      <c r="DJ60">
        <f t="shared" si="30"/>
        <v>1536.66</v>
      </c>
      <c r="DK60">
        <v>0</v>
      </c>
      <c r="DL60" t="s">
        <v>332</v>
      </c>
      <c r="DM60">
        <v>0</v>
      </c>
      <c r="DN60" t="s">
        <v>332</v>
      </c>
      <c r="DO60">
        <v>0</v>
      </c>
    </row>
    <row r="61" spans="1:119" x14ac:dyDescent="0.25">
      <c r="A61">
        <f>ROW(Source!A76)</f>
        <v>76</v>
      </c>
      <c r="B61">
        <v>78397139</v>
      </c>
      <c r="C61">
        <v>78397618</v>
      </c>
      <c r="D61">
        <v>77537015</v>
      </c>
      <c r="E61">
        <v>1</v>
      </c>
      <c r="F61">
        <v>1</v>
      </c>
      <c r="G61">
        <v>1</v>
      </c>
      <c r="H61">
        <v>3</v>
      </c>
      <c r="I61" t="s">
        <v>480</v>
      </c>
      <c r="J61" t="s">
        <v>482</v>
      </c>
      <c r="K61" t="s">
        <v>481</v>
      </c>
      <c r="L61">
        <v>1371</v>
      </c>
      <c r="N61">
        <v>1013</v>
      </c>
      <c r="O61" t="s">
        <v>366</v>
      </c>
      <c r="P61" t="s">
        <v>366</v>
      </c>
      <c r="Q61">
        <v>1</v>
      </c>
      <c r="W61">
        <v>0</v>
      </c>
      <c r="X61">
        <v>-1852532145</v>
      </c>
      <c r="Y61">
        <f t="shared" si="17"/>
        <v>50</v>
      </c>
      <c r="AA61">
        <v>397.84</v>
      </c>
      <c r="AB61">
        <v>0</v>
      </c>
      <c r="AC61">
        <v>0</v>
      </c>
      <c r="AD61">
        <v>0</v>
      </c>
      <c r="AE61">
        <v>397.84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0</v>
      </c>
      <c r="AO61">
        <v>0</v>
      </c>
      <c r="AP61">
        <v>1</v>
      </c>
      <c r="AQ61">
        <v>0</v>
      </c>
      <c r="AR61">
        <v>0</v>
      </c>
      <c r="AS61" t="s">
        <v>332</v>
      </c>
      <c r="AT61">
        <v>50</v>
      </c>
      <c r="AU61" t="s">
        <v>332</v>
      </c>
      <c r="AV61">
        <v>0</v>
      </c>
      <c r="AW61">
        <v>1</v>
      </c>
      <c r="AX61">
        <v>-1</v>
      </c>
      <c r="AY61">
        <v>0</v>
      </c>
      <c r="AZ61">
        <v>0</v>
      </c>
      <c r="BA61" t="s">
        <v>332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ROUND(Y61*Source!I76,7)</f>
        <v>1</v>
      </c>
      <c r="CY61">
        <f t="shared" si="27"/>
        <v>397.84</v>
      </c>
      <c r="CZ61">
        <f t="shared" si="28"/>
        <v>397.84</v>
      </c>
      <c r="DA61">
        <f t="shared" si="29"/>
        <v>1</v>
      </c>
      <c r="DB61">
        <f t="shared" si="21"/>
        <v>19892</v>
      </c>
      <c r="DC61">
        <f t="shared" si="22"/>
        <v>0</v>
      </c>
      <c r="DD61" t="s">
        <v>332</v>
      </c>
      <c r="DE61" t="s">
        <v>332</v>
      </c>
      <c r="DF61">
        <f>ROUND(ROUND(AE61,2)*CX61,2)</f>
        <v>397.84</v>
      </c>
      <c r="DG61">
        <f t="shared" si="26"/>
        <v>0</v>
      </c>
      <c r="DH61">
        <f t="shared" si="14"/>
        <v>0</v>
      </c>
      <c r="DI61">
        <f t="shared" si="15"/>
        <v>0</v>
      </c>
      <c r="DJ61">
        <f t="shared" si="30"/>
        <v>397.84</v>
      </c>
      <c r="DK61">
        <v>1</v>
      </c>
      <c r="DL61" t="s">
        <v>332</v>
      </c>
      <c r="DM61">
        <v>0</v>
      </c>
      <c r="DN61" t="s">
        <v>332</v>
      </c>
      <c r="DO61">
        <v>0</v>
      </c>
    </row>
    <row r="62" spans="1:119" x14ac:dyDescent="0.25">
      <c r="A62">
        <f>ROW(Source!A76)</f>
        <v>76</v>
      </c>
      <c r="B62">
        <v>78397139</v>
      </c>
      <c r="C62">
        <v>78397618</v>
      </c>
      <c r="D62">
        <v>77538720</v>
      </c>
      <c r="E62">
        <v>1</v>
      </c>
      <c r="F62">
        <v>1</v>
      </c>
      <c r="G62">
        <v>1</v>
      </c>
      <c r="H62">
        <v>3</v>
      </c>
      <c r="I62" t="s">
        <v>379</v>
      </c>
      <c r="J62" t="s">
        <v>381</v>
      </c>
      <c r="K62" t="s">
        <v>380</v>
      </c>
      <c r="L62">
        <v>1371</v>
      </c>
      <c r="N62">
        <v>1013</v>
      </c>
      <c r="O62" t="s">
        <v>366</v>
      </c>
      <c r="P62" t="s">
        <v>366</v>
      </c>
      <c r="Q62">
        <v>1</v>
      </c>
      <c r="W62">
        <v>0</v>
      </c>
      <c r="X62">
        <v>-421326667</v>
      </c>
      <c r="Y62">
        <f t="shared" si="17"/>
        <v>100</v>
      </c>
      <c r="AA62">
        <v>162.38999999999999</v>
      </c>
      <c r="AB62">
        <v>0</v>
      </c>
      <c r="AC62">
        <v>0</v>
      </c>
      <c r="AD62">
        <v>0</v>
      </c>
      <c r="AE62">
        <v>130.96</v>
      </c>
      <c r="AF62">
        <v>0</v>
      </c>
      <c r="AG62">
        <v>0</v>
      </c>
      <c r="AH62">
        <v>0</v>
      </c>
      <c r="AI62">
        <v>1.24</v>
      </c>
      <c r="AJ62">
        <v>1</v>
      </c>
      <c r="AK62">
        <v>1</v>
      </c>
      <c r="AL62">
        <v>1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 t="s">
        <v>332</v>
      </c>
      <c r="AT62">
        <v>100</v>
      </c>
      <c r="AU62" t="s">
        <v>332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332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ROUND(Y62*Source!I76,7)</f>
        <v>2</v>
      </c>
      <c r="CY62">
        <f t="shared" si="27"/>
        <v>162.38999999999999</v>
      </c>
      <c r="CZ62">
        <f t="shared" si="28"/>
        <v>130.96</v>
      </c>
      <c r="DA62">
        <f t="shared" si="29"/>
        <v>1.24</v>
      </c>
      <c r="DB62">
        <f t="shared" si="21"/>
        <v>13096</v>
      </c>
      <c r="DC62">
        <f t="shared" si="22"/>
        <v>0</v>
      </c>
      <c r="DD62" t="s">
        <v>332</v>
      </c>
      <c r="DE62" t="s">
        <v>332</v>
      </c>
      <c r="DF62">
        <f>ROUND(ROUND(AE62*AI62,2)*CX62,2)</f>
        <v>324.77999999999997</v>
      </c>
      <c r="DG62">
        <f t="shared" si="26"/>
        <v>0</v>
      </c>
      <c r="DH62">
        <f t="shared" si="14"/>
        <v>0</v>
      </c>
      <c r="DI62">
        <f t="shared" si="15"/>
        <v>0</v>
      </c>
      <c r="DJ62">
        <f t="shared" si="30"/>
        <v>324.77999999999997</v>
      </c>
      <c r="DK62">
        <v>0</v>
      </c>
      <c r="DL62" t="s">
        <v>332</v>
      </c>
      <c r="DM62">
        <v>0</v>
      </c>
      <c r="DN62" t="s">
        <v>332</v>
      </c>
      <c r="DO62">
        <v>0</v>
      </c>
    </row>
    <row r="63" spans="1:119" x14ac:dyDescent="0.25">
      <c r="A63">
        <f>ROW(Source!A80)</f>
        <v>80</v>
      </c>
      <c r="B63">
        <v>78397139</v>
      </c>
      <c r="C63">
        <v>78397648</v>
      </c>
      <c r="D63">
        <v>77423764</v>
      </c>
      <c r="E63">
        <v>117</v>
      </c>
      <c r="F63">
        <v>1</v>
      </c>
      <c r="G63">
        <v>1</v>
      </c>
      <c r="H63">
        <v>1</v>
      </c>
      <c r="I63" t="s">
        <v>204</v>
      </c>
      <c r="J63" t="s">
        <v>332</v>
      </c>
      <c r="K63" t="s">
        <v>205</v>
      </c>
      <c r="L63">
        <v>1191</v>
      </c>
      <c r="N63">
        <v>1013</v>
      </c>
      <c r="O63" t="s">
        <v>31</v>
      </c>
      <c r="P63" t="s">
        <v>31</v>
      </c>
      <c r="Q63">
        <v>1</v>
      </c>
      <c r="W63">
        <v>0</v>
      </c>
      <c r="X63">
        <v>1426738182</v>
      </c>
      <c r="Y63">
        <f t="shared" si="17"/>
        <v>9.58</v>
      </c>
      <c r="AA63">
        <v>0</v>
      </c>
      <c r="AB63">
        <v>0</v>
      </c>
      <c r="AC63">
        <v>0</v>
      </c>
      <c r="AD63">
        <v>649.29999999999995</v>
      </c>
      <c r="AE63">
        <v>0</v>
      </c>
      <c r="AF63">
        <v>0</v>
      </c>
      <c r="AG63">
        <v>0</v>
      </c>
      <c r="AH63">
        <v>649.29999999999995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0</v>
      </c>
      <c r="AQ63">
        <v>1</v>
      </c>
      <c r="AR63">
        <v>0</v>
      </c>
      <c r="AS63" t="s">
        <v>332</v>
      </c>
      <c r="AT63">
        <v>9.58</v>
      </c>
      <c r="AU63" t="s">
        <v>332</v>
      </c>
      <c r="AV63">
        <v>1</v>
      </c>
      <c r="AW63">
        <v>2</v>
      </c>
      <c r="AX63">
        <v>78397649</v>
      </c>
      <c r="AY63">
        <v>1</v>
      </c>
      <c r="AZ63">
        <v>0</v>
      </c>
      <c r="BA63">
        <v>64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6220.2939999999999</v>
      </c>
      <c r="BN63">
        <v>9.58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6220.2939999999999</v>
      </c>
      <c r="BU63">
        <v>9.58</v>
      </c>
      <c r="BV63">
        <v>0</v>
      </c>
      <c r="BW63">
        <v>1</v>
      </c>
      <c r="CU63">
        <f>ROUND(AT63*Source!I80*AH63*AL63,2)</f>
        <v>124.41</v>
      </c>
      <c r="CV63">
        <f>ROUND(Y63*Source!I80,7)</f>
        <v>0.19159999999999999</v>
      </c>
      <c r="CW63">
        <v>0</v>
      </c>
      <c r="CX63">
        <f>ROUND(Y63*Source!I80,7)</f>
        <v>0.19159999999999999</v>
      </c>
      <c r="CY63">
        <f>AD63</f>
        <v>649.29999999999995</v>
      </c>
      <c r="CZ63">
        <f>AH63</f>
        <v>649.29999999999995</v>
      </c>
      <c r="DA63">
        <f>AL63</f>
        <v>1</v>
      </c>
      <c r="DB63">
        <f t="shared" si="21"/>
        <v>6220.29</v>
      </c>
      <c r="DC63">
        <f t="shared" si="22"/>
        <v>0</v>
      </c>
      <c r="DD63" t="s">
        <v>332</v>
      </c>
      <c r="DE63" t="s">
        <v>332</v>
      </c>
      <c r="DF63">
        <f t="shared" ref="DF63:DF70" si="31">ROUND(ROUND(AE63,2)*CX63,2)</f>
        <v>0</v>
      </c>
      <c r="DG63">
        <f t="shared" si="26"/>
        <v>0</v>
      </c>
      <c r="DH63">
        <f t="shared" si="14"/>
        <v>0</v>
      </c>
      <c r="DI63">
        <f t="shared" si="15"/>
        <v>124.41</v>
      </c>
      <c r="DJ63">
        <f>DI63</f>
        <v>124.41</v>
      </c>
      <c r="DK63">
        <v>1</v>
      </c>
      <c r="DL63" t="s">
        <v>332</v>
      </c>
      <c r="DM63">
        <v>0</v>
      </c>
      <c r="DN63" t="s">
        <v>332</v>
      </c>
      <c r="DO63">
        <v>0</v>
      </c>
    </row>
    <row r="64" spans="1:119" x14ac:dyDescent="0.25">
      <c r="A64">
        <f>ROW(Source!A80)</f>
        <v>80</v>
      </c>
      <c r="B64">
        <v>78397139</v>
      </c>
      <c r="C64">
        <v>78397648</v>
      </c>
      <c r="D64">
        <v>77423956</v>
      </c>
      <c r="E64">
        <v>117</v>
      </c>
      <c r="F64">
        <v>1</v>
      </c>
      <c r="G64">
        <v>1</v>
      </c>
      <c r="H64">
        <v>1</v>
      </c>
      <c r="I64" t="s">
        <v>647</v>
      </c>
      <c r="J64" t="s">
        <v>332</v>
      </c>
      <c r="K64" t="s">
        <v>648</v>
      </c>
      <c r="L64">
        <v>1191</v>
      </c>
      <c r="N64">
        <v>1013</v>
      </c>
      <c r="O64" t="s">
        <v>31</v>
      </c>
      <c r="P64" t="s">
        <v>31</v>
      </c>
      <c r="Q64">
        <v>1</v>
      </c>
      <c r="W64">
        <v>0</v>
      </c>
      <c r="X64">
        <v>-1417349443</v>
      </c>
      <c r="Y64">
        <f t="shared" si="17"/>
        <v>0.2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0</v>
      </c>
      <c r="AQ64">
        <v>1</v>
      </c>
      <c r="AR64">
        <v>0</v>
      </c>
      <c r="AS64" t="s">
        <v>332</v>
      </c>
      <c r="AT64">
        <v>0.2</v>
      </c>
      <c r="AU64" t="s">
        <v>332</v>
      </c>
      <c r="AV64">
        <v>2</v>
      </c>
      <c r="AW64">
        <v>2</v>
      </c>
      <c r="AX64">
        <v>78397650</v>
      </c>
      <c r="AY64">
        <v>1</v>
      </c>
      <c r="AZ64">
        <v>0</v>
      </c>
      <c r="BA64">
        <v>65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ROUND(Y64*Source!I80,7)</f>
        <v>4.0000000000000001E-3</v>
      </c>
      <c r="CY64">
        <f>AD64</f>
        <v>0</v>
      </c>
      <c r="CZ64">
        <f>AH64</f>
        <v>0</v>
      </c>
      <c r="DA64">
        <f>AL64</f>
        <v>1</v>
      </c>
      <c r="DB64">
        <f t="shared" si="21"/>
        <v>0</v>
      </c>
      <c r="DC64">
        <f t="shared" si="22"/>
        <v>0</v>
      </c>
      <c r="DD64" t="s">
        <v>332</v>
      </c>
      <c r="DE64" t="s">
        <v>332</v>
      </c>
      <c r="DF64">
        <f t="shared" si="31"/>
        <v>0</v>
      </c>
      <c r="DG64">
        <f t="shared" si="26"/>
        <v>0</v>
      </c>
      <c r="DH64">
        <f t="shared" si="14"/>
        <v>0</v>
      </c>
      <c r="DI64">
        <f t="shared" si="15"/>
        <v>0</v>
      </c>
      <c r="DJ64">
        <f>DI64</f>
        <v>0</v>
      </c>
      <c r="DK64">
        <v>0</v>
      </c>
      <c r="DL64" t="s">
        <v>332</v>
      </c>
      <c r="DM64">
        <v>0</v>
      </c>
      <c r="DN64" t="s">
        <v>332</v>
      </c>
      <c r="DO64">
        <v>0</v>
      </c>
    </row>
    <row r="65" spans="1:119" x14ac:dyDescent="0.25">
      <c r="A65">
        <f>ROW(Source!A80)</f>
        <v>80</v>
      </c>
      <c r="B65">
        <v>78397139</v>
      </c>
      <c r="C65">
        <v>78397648</v>
      </c>
      <c r="D65">
        <v>77430632</v>
      </c>
      <c r="E65">
        <v>1</v>
      </c>
      <c r="F65">
        <v>1</v>
      </c>
      <c r="G65">
        <v>1</v>
      </c>
      <c r="H65">
        <v>2</v>
      </c>
      <c r="I65" t="s">
        <v>57</v>
      </c>
      <c r="J65" t="s">
        <v>649</v>
      </c>
      <c r="K65" t="s">
        <v>58</v>
      </c>
      <c r="L65">
        <v>1368</v>
      </c>
      <c r="N65">
        <v>1011</v>
      </c>
      <c r="O65" t="s">
        <v>59</v>
      </c>
      <c r="P65" t="s">
        <v>59</v>
      </c>
      <c r="Q65">
        <v>1</v>
      </c>
      <c r="W65">
        <v>0</v>
      </c>
      <c r="X65">
        <v>945201097</v>
      </c>
      <c r="Y65">
        <f t="shared" si="17"/>
        <v>0.2</v>
      </c>
      <c r="AA65">
        <v>0</v>
      </c>
      <c r="AB65">
        <v>57.47</v>
      </c>
      <c r="AC65">
        <v>641.22</v>
      </c>
      <c r="AD65">
        <v>0</v>
      </c>
      <c r="AE65">
        <v>0</v>
      </c>
      <c r="AF65">
        <v>37.32</v>
      </c>
      <c r="AG65">
        <v>641.22</v>
      </c>
      <c r="AH65">
        <v>0</v>
      </c>
      <c r="AI65">
        <v>1</v>
      </c>
      <c r="AJ65">
        <v>1.54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0</v>
      </c>
      <c r="AQ65">
        <v>1</v>
      </c>
      <c r="AR65">
        <v>0</v>
      </c>
      <c r="AS65" t="s">
        <v>332</v>
      </c>
      <c r="AT65">
        <v>0.2</v>
      </c>
      <c r="AU65" t="s">
        <v>332</v>
      </c>
      <c r="AV65">
        <v>1</v>
      </c>
      <c r="AW65">
        <v>2</v>
      </c>
      <c r="AX65">
        <v>78397651</v>
      </c>
      <c r="AY65">
        <v>1</v>
      </c>
      <c r="AZ65">
        <v>0</v>
      </c>
      <c r="BA65">
        <v>66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7.4640000000000004</v>
      </c>
      <c r="BL65">
        <v>128.244</v>
      </c>
      <c r="BM65">
        <v>0</v>
      </c>
      <c r="BN65">
        <v>0</v>
      </c>
      <c r="BO65">
        <v>0.2</v>
      </c>
      <c r="BP65">
        <v>1</v>
      </c>
      <c r="BQ65">
        <v>0</v>
      </c>
      <c r="BR65">
        <v>7.4640000000000004</v>
      </c>
      <c r="BS65">
        <v>128.244</v>
      </c>
      <c r="BT65">
        <v>0</v>
      </c>
      <c r="BU65">
        <v>0</v>
      </c>
      <c r="BV65">
        <v>0.2</v>
      </c>
      <c r="BW65">
        <v>1</v>
      </c>
      <c r="CV65">
        <v>0</v>
      </c>
      <c r="CW65">
        <f>ROUND(Y65*Source!I80*DO65,7)</f>
        <v>4.0000000000000001E-3</v>
      </c>
      <c r="CX65">
        <f>ROUND(Y65*Source!I80,7)</f>
        <v>4.0000000000000001E-3</v>
      </c>
      <c r="CY65">
        <f>AB65</f>
        <v>57.47</v>
      </c>
      <c r="CZ65">
        <f>AF65</f>
        <v>37.32</v>
      </c>
      <c r="DA65">
        <f>AJ65</f>
        <v>1.54</v>
      </c>
      <c r="DB65">
        <f t="shared" si="21"/>
        <v>7.46</v>
      </c>
      <c r="DC65">
        <f t="shared" si="22"/>
        <v>128.24</v>
      </c>
      <c r="DD65" t="s">
        <v>332</v>
      </c>
      <c r="DE65" t="s">
        <v>332</v>
      </c>
      <c r="DF65">
        <f t="shared" si="31"/>
        <v>0</v>
      </c>
      <c r="DG65">
        <f>ROUND(ROUND(AF65*AJ65,2)*CX65,2)</f>
        <v>0.23</v>
      </c>
      <c r="DH65">
        <f t="shared" ref="DH65:DH96" si="32">ROUND(ROUND(AG65,2)*CX65,2)</f>
        <v>2.56</v>
      </c>
      <c r="DI65">
        <f t="shared" ref="DI65:DI96" si="33">ROUND(ROUND(AH65,2)*CX65,2)</f>
        <v>0</v>
      </c>
      <c r="DJ65">
        <f>DG65+DH65</f>
        <v>2.79</v>
      </c>
      <c r="DK65">
        <v>0</v>
      </c>
      <c r="DL65" t="s">
        <v>60</v>
      </c>
      <c r="DM65">
        <v>3</v>
      </c>
      <c r="DN65" t="s">
        <v>31</v>
      </c>
      <c r="DO65">
        <v>1</v>
      </c>
    </row>
    <row r="66" spans="1:119" x14ac:dyDescent="0.25">
      <c r="A66">
        <f>ROW(Source!A81)</f>
        <v>81</v>
      </c>
      <c r="B66">
        <v>78397139</v>
      </c>
      <c r="C66">
        <v>78397652</v>
      </c>
      <c r="D66">
        <v>77423772</v>
      </c>
      <c r="E66">
        <v>117</v>
      </c>
      <c r="F66">
        <v>1</v>
      </c>
      <c r="G66">
        <v>1</v>
      </c>
      <c r="H66">
        <v>1</v>
      </c>
      <c r="I66" t="s">
        <v>53</v>
      </c>
      <c r="J66" t="s">
        <v>332</v>
      </c>
      <c r="K66" t="s">
        <v>54</v>
      </c>
      <c r="L66">
        <v>1191</v>
      </c>
      <c r="N66">
        <v>1013</v>
      </c>
      <c r="O66" t="s">
        <v>31</v>
      </c>
      <c r="P66" t="s">
        <v>31</v>
      </c>
      <c r="Q66">
        <v>1</v>
      </c>
      <c r="W66">
        <v>0</v>
      </c>
      <c r="X66">
        <v>-715079457</v>
      </c>
      <c r="Y66">
        <f>(AT66*ROUND(1.15,7))</f>
        <v>111.55</v>
      </c>
      <c r="AA66">
        <v>0</v>
      </c>
      <c r="AB66">
        <v>0</v>
      </c>
      <c r="AC66">
        <v>0</v>
      </c>
      <c r="AD66">
        <v>681.63</v>
      </c>
      <c r="AE66">
        <v>0</v>
      </c>
      <c r="AF66">
        <v>0</v>
      </c>
      <c r="AG66">
        <v>0</v>
      </c>
      <c r="AH66">
        <v>681.63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332</v>
      </c>
      <c r="AT66">
        <v>97</v>
      </c>
      <c r="AU66" t="s">
        <v>402</v>
      </c>
      <c r="AV66">
        <v>1</v>
      </c>
      <c r="AW66">
        <v>2</v>
      </c>
      <c r="AX66">
        <v>78397653</v>
      </c>
      <c r="AY66">
        <v>1</v>
      </c>
      <c r="AZ66">
        <v>0</v>
      </c>
      <c r="BA66">
        <v>67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66118.11</v>
      </c>
      <c r="BN66">
        <v>97</v>
      </c>
      <c r="BO66">
        <v>0</v>
      </c>
      <c r="BP66">
        <v>1</v>
      </c>
      <c r="BQ66">
        <v>0</v>
      </c>
      <c r="BR66">
        <v>0</v>
      </c>
      <c r="BS66">
        <v>0</v>
      </c>
      <c r="BT66">
        <v>76035.826499999996</v>
      </c>
      <c r="BU66">
        <v>111.55</v>
      </c>
      <c r="BV66">
        <v>0</v>
      </c>
      <c r="BW66">
        <v>1</v>
      </c>
      <c r="CU66">
        <f>ROUND(AT66*Source!I81*AH66*AL66,2)</f>
        <v>1322.36</v>
      </c>
      <c r="CV66">
        <f>ROUND(Y66*Source!I81,7)</f>
        <v>2.2309999999999999</v>
      </c>
      <c r="CW66">
        <v>0</v>
      </c>
      <c r="CX66">
        <f>ROUND(Y66*Source!I81,7)</f>
        <v>2.2309999999999999</v>
      </c>
      <c r="CY66">
        <f>AD66</f>
        <v>681.63</v>
      </c>
      <c r="CZ66">
        <f>AH66</f>
        <v>681.63</v>
      </c>
      <c r="DA66">
        <f>AL66</f>
        <v>1</v>
      </c>
      <c r="DB66">
        <f>ROUND((ROUND(AT66*CZ66,2)*ROUND(1.15,7)),6)</f>
        <v>76035.826499999996</v>
      </c>
      <c r="DC66">
        <f>ROUND((ROUND(AT66*AG66,2)*ROUND(1.15,7)),6)</f>
        <v>0</v>
      </c>
      <c r="DD66" t="s">
        <v>332</v>
      </c>
      <c r="DE66" t="s">
        <v>332</v>
      </c>
      <c r="DF66">
        <f t="shared" si="31"/>
        <v>0</v>
      </c>
      <c r="DG66">
        <f>ROUND(ROUND(AF66,2)*CX66,2)</f>
        <v>0</v>
      </c>
      <c r="DH66">
        <f t="shared" si="32"/>
        <v>0</v>
      </c>
      <c r="DI66">
        <f t="shared" si="33"/>
        <v>1520.72</v>
      </c>
      <c r="DJ66">
        <f>DI66</f>
        <v>1520.72</v>
      </c>
      <c r="DK66">
        <v>1</v>
      </c>
      <c r="DL66" t="s">
        <v>332</v>
      </c>
      <c r="DM66">
        <v>0</v>
      </c>
      <c r="DN66" t="s">
        <v>332</v>
      </c>
      <c r="DO66">
        <v>0</v>
      </c>
    </row>
    <row r="67" spans="1:119" x14ac:dyDescent="0.25">
      <c r="A67">
        <f>ROW(Source!A81)</f>
        <v>81</v>
      </c>
      <c r="B67">
        <v>78397139</v>
      </c>
      <c r="C67">
        <v>78397652</v>
      </c>
      <c r="D67">
        <v>77423956</v>
      </c>
      <c r="E67">
        <v>117</v>
      </c>
      <c r="F67">
        <v>1</v>
      </c>
      <c r="G67">
        <v>1</v>
      </c>
      <c r="H67">
        <v>1</v>
      </c>
      <c r="I67" t="s">
        <v>647</v>
      </c>
      <c r="J67" t="s">
        <v>332</v>
      </c>
      <c r="K67" t="s">
        <v>648</v>
      </c>
      <c r="L67">
        <v>1191</v>
      </c>
      <c r="N67">
        <v>1013</v>
      </c>
      <c r="O67" t="s">
        <v>31</v>
      </c>
      <c r="P67" t="s">
        <v>31</v>
      </c>
      <c r="Q67">
        <v>1</v>
      </c>
      <c r="W67">
        <v>0</v>
      </c>
      <c r="X67">
        <v>-1417349443</v>
      </c>
      <c r="Y67">
        <f>(AT67*ROUND(1.25,7))</f>
        <v>0.47499999999999998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332</v>
      </c>
      <c r="AT67">
        <v>0.38</v>
      </c>
      <c r="AU67" t="s">
        <v>401</v>
      </c>
      <c r="AV67">
        <v>2</v>
      </c>
      <c r="AW67">
        <v>2</v>
      </c>
      <c r="AX67">
        <v>78397654</v>
      </c>
      <c r="AY67">
        <v>1</v>
      </c>
      <c r="AZ67">
        <v>0</v>
      </c>
      <c r="BA67">
        <v>68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ROUND(Y67*Source!I81,7)</f>
        <v>9.4999999999999998E-3</v>
      </c>
      <c r="CY67">
        <f>AD67</f>
        <v>0</v>
      </c>
      <c r="CZ67">
        <f>AH67</f>
        <v>0</v>
      </c>
      <c r="DA67">
        <f>AL67</f>
        <v>1</v>
      </c>
      <c r="DB67">
        <f>ROUND((ROUND(AT67*CZ67,2)*ROUND(1.25,7)),6)</f>
        <v>0</v>
      </c>
      <c r="DC67">
        <f>ROUND((ROUND(AT67*AG67,2)*ROUND(1.25,7)),6)</f>
        <v>0</v>
      </c>
      <c r="DD67" t="s">
        <v>332</v>
      </c>
      <c r="DE67" t="s">
        <v>332</v>
      </c>
      <c r="DF67">
        <f t="shared" si="31"/>
        <v>0</v>
      </c>
      <c r="DG67">
        <f>ROUND(ROUND(AF67,2)*CX67,2)</f>
        <v>0</v>
      </c>
      <c r="DH67">
        <f t="shared" si="32"/>
        <v>0</v>
      </c>
      <c r="DI67">
        <f t="shared" si="33"/>
        <v>0</v>
      </c>
      <c r="DJ67">
        <f>DI67</f>
        <v>0</v>
      </c>
      <c r="DK67">
        <v>0</v>
      </c>
      <c r="DL67" t="s">
        <v>332</v>
      </c>
      <c r="DM67">
        <v>0</v>
      </c>
      <c r="DN67" t="s">
        <v>332</v>
      </c>
      <c r="DO67">
        <v>0</v>
      </c>
    </row>
    <row r="68" spans="1:119" x14ac:dyDescent="0.25">
      <c r="A68">
        <f>ROW(Source!A81)</f>
        <v>81</v>
      </c>
      <c r="B68">
        <v>78397139</v>
      </c>
      <c r="C68">
        <v>78397652</v>
      </c>
      <c r="D68">
        <v>77430445</v>
      </c>
      <c r="E68">
        <v>1</v>
      </c>
      <c r="F68">
        <v>1</v>
      </c>
      <c r="G68">
        <v>1</v>
      </c>
      <c r="H68">
        <v>2</v>
      </c>
      <c r="I68" t="s">
        <v>208</v>
      </c>
      <c r="J68" t="s">
        <v>672</v>
      </c>
      <c r="K68" t="s">
        <v>209</v>
      </c>
      <c r="L68">
        <v>1368</v>
      </c>
      <c r="N68">
        <v>1011</v>
      </c>
      <c r="O68" t="s">
        <v>59</v>
      </c>
      <c r="P68" t="s">
        <v>59</v>
      </c>
      <c r="Q68">
        <v>1</v>
      </c>
      <c r="W68">
        <v>0</v>
      </c>
      <c r="X68">
        <v>639918019</v>
      </c>
      <c r="Y68">
        <f>(AT68*ROUND(1.25,7))</f>
        <v>0.23749999999999999</v>
      </c>
      <c r="AA68">
        <v>0</v>
      </c>
      <c r="AB68">
        <v>1629.55</v>
      </c>
      <c r="AC68">
        <v>969.91</v>
      </c>
      <c r="AD68">
        <v>0</v>
      </c>
      <c r="AE68">
        <v>0</v>
      </c>
      <c r="AF68">
        <v>1629.55</v>
      </c>
      <c r="AG68">
        <v>969.91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332</v>
      </c>
      <c r="AT68">
        <v>0.19</v>
      </c>
      <c r="AU68" t="s">
        <v>401</v>
      </c>
      <c r="AV68">
        <v>1</v>
      </c>
      <c r="AW68">
        <v>2</v>
      </c>
      <c r="AX68">
        <v>78397655</v>
      </c>
      <c r="AY68">
        <v>1</v>
      </c>
      <c r="AZ68">
        <v>0</v>
      </c>
      <c r="BA68">
        <v>69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309.61450000000002</v>
      </c>
      <c r="BL68">
        <v>184.28290000000001</v>
      </c>
      <c r="BM68">
        <v>0</v>
      </c>
      <c r="BN68">
        <v>0</v>
      </c>
      <c r="BO68">
        <v>0.19</v>
      </c>
      <c r="BP68">
        <v>1</v>
      </c>
      <c r="BQ68">
        <v>0</v>
      </c>
      <c r="BR68">
        <v>387.018125</v>
      </c>
      <c r="BS68">
        <v>230.35362499999999</v>
      </c>
      <c r="BT68">
        <v>0</v>
      </c>
      <c r="BU68">
        <v>0</v>
      </c>
      <c r="BV68">
        <v>0.23749999999999999</v>
      </c>
      <c r="BW68">
        <v>1</v>
      </c>
      <c r="CV68">
        <v>0</v>
      </c>
      <c r="CW68">
        <f>ROUND(Y68*Source!I81*DO68,7)</f>
        <v>4.7499999999999999E-3</v>
      </c>
      <c r="CX68">
        <f>ROUND(Y68*Source!I81,7)</f>
        <v>4.7499999999999999E-3</v>
      </c>
      <c r="CY68">
        <f>AB68</f>
        <v>1629.55</v>
      </c>
      <c r="CZ68">
        <f>AF68</f>
        <v>1629.55</v>
      </c>
      <c r="DA68">
        <f>AJ68</f>
        <v>1</v>
      </c>
      <c r="DB68">
        <f>ROUND((ROUND(AT68*CZ68,2)*ROUND(1.25,7)),6)</f>
        <v>387.01249999999999</v>
      </c>
      <c r="DC68">
        <f>ROUND((ROUND(AT68*AG68,2)*ROUND(1.25,7)),6)</f>
        <v>230.35</v>
      </c>
      <c r="DD68" t="s">
        <v>332</v>
      </c>
      <c r="DE68" t="s">
        <v>332</v>
      </c>
      <c r="DF68">
        <f t="shared" si="31"/>
        <v>0</v>
      </c>
      <c r="DG68">
        <f>ROUND(ROUND(AF68,2)*CX68,2)</f>
        <v>7.74</v>
      </c>
      <c r="DH68">
        <f t="shared" si="32"/>
        <v>4.6100000000000003</v>
      </c>
      <c r="DI68">
        <f t="shared" si="33"/>
        <v>0</v>
      </c>
      <c r="DJ68">
        <f>DG68+DH68</f>
        <v>12.35</v>
      </c>
      <c r="DK68">
        <v>1</v>
      </c>
      <c r="DL68" t="s">
        <v>210</v>
      </c>
      <c r="DM68">
        <v>6</v>
      </c>
      <c r="DN68" t="s">
        <v>31</v>
      </c>
      <c r="DO68">
        <v>1</v>
      </c>
    </row>
    <row r="69" spans="1:119" x14ac:dyDescent="0.25">
      <c r="A69">
        <f>ROW(Source!A81)</f>
        <v>81</v>
      </c>
      <c r="B69">
        <v>78397139</v>
      </c>
      <c r="C69">
        <v>78397652</v>
      </c>
      <c r="D69">
        <v>77431339</v>
      </c>
      <c r="E69">
        <v>1</v>
      </c>
      <c r="F69">
        <v>1</v>
      </c>
      <c r="G69">
        <v>1</v>
      </c>
      <c r="H69">
        <v>2</v>
      </c>
      <c r="I69" t="s">
        <v>62</v>
      </c>
      <c r="J69" t="s">
        <v>650</v>
      </c>
      <c r="K69" t="s">
        <v>63</v>
      </c>
      <c r="L69">
        <v>1368</v>
      </c>
      <c r="N69">
        <v>1011</v>
      </c>
      <c r="O69" t="s">
        <v>59</v>
      </c>
      <c r="P69" t="s">
        <v>59</v>
      </c>
      <c r="Q69">
        <v>1</v>
      </c>
      <c r="W69">
        <v>0</v>
      </c>
      <c r="X69">
        <v>-849950259</v>
      </c>
      <c r="Y69">
        <f>(AT69*ROUND(1.25,7))</f>
        <v>0.23749999999999999</v>
      </c>
      <c r="AA69">
        <v>0</v>
      </c>
      <c r="AB69">
        <v>643.29</v>
      </c>
      <c r="AC69">
        <v>722.05</v>
      </c>
      <c r="AD69">
        <v>0</v>
      </c>
      <c r="AE69">
        <v>0</v>
      </c>
      <c r="AF69">
        <v>643.29</v>
      </c>
      <c r="AG69">
        <v>722.05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332</v>
      </c>
      <c r="AT69">
        <v>0.19</v>
      </c>
      <c r="AU69" t="s">
        <v>401</v>
      </c>
      <c r="AV69">
        <v>1</v>
      </c>
      <c r="AW69">
        <v>2</v>
      </c>
      <c r="AX69">
        <v>78397656</v>
      </c>
      <c r="AY69">
        <v>1</v>
      </c>
      <c r="AZ69">
        <v>0</v>
      </c>
      <c r="BA69">
        <v>70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122.2251</v>
      </c>
      <c r="BL69">
        <v>137.18950000000001</v>
      </c>
      <c r="BM69">
        <v>0</v>
      </c>
      <c r="BN69">
        <v>0</v>
      </c>
      <c r="BO69">
        <v>0.19</v>
      </c>
      <c r="BP69">
        <v>1</v>
      </c>
      <c r="BQ69">
        <v>0</v>
      </c>
      <c r="BR69">
        <v>152.781375</v>
      </c>
      <c r="BS69">
        <v>171.486875</v>
      </c>
      <c r="BT69">
        <v>0</v>
      </c>
      <c r="BU69">
        <v>0</v>
      </c>
      <c r="BV69">
        <v>0.23749999999999999</v>
      </c>
      <c r="BW69">
        <v>1</v>
      </c>
      <c r="CV69">
        <v>0</v>
      </c>
      <c r="CW69">
        <f>ROUND(Y69*Source!I81*DO69,7)</f>
        <v>4.7499999999999999E-3</v>
      </c>
      <c r="CX69">
        <f>ROUND(Y69*Source!I81,7)</f>
        <v>4.7499999999999999E-3</v>
      </c>
      <c r="CY69">
        <f>AB69</f>
        <v>643.29</v>
      </c>
      <c r="CZ69">
        <f>AF69</f>
        <v>643.29</v>
      </c>
      <c r="DA69">
        <f>AJ69</f>
        <v>1</v>
      </c>
      <c r="DB69">
        <f>ROUND((ROUND(AT69*CZ69,2)*ROUND(1.25,7)),6)</f>
        <v>152.78749999999999</v>
      </c>
      <c r="DC69">
        <f>ROUND((ROUND(AT69*AG69,2)*ROUND(1.25,7)),6)</f>
        <v>171.48750000000001</v>
      </c>
      <c r="DD69" t="s">
        <v>332</v>
      </c>
      <c r="DE69" t="s">
        <v>332</v>
      </c>
      <c r="DF69">
        <f t="shared" si="31"/>
        <v>0</v>
      </c>
      <c r="DG69">
        <f>ROUND(ROUND(AF69,2)*CX69,2)</f>
        <v>3.06</v>
      </c>
      <c r="DH69">
        <f t="shared" si="32"/>
        <v>3.43</v>
      </c>
      <c r="DI69">
        <f t="shared" si="33"/>
        <v>0</v>
      </c>
      <c r="DJ69">
        <f>DG69+DH69</f>
        <v>6.49</v>
      </c>
      <c r="DK69">
        <v>1</v>
      </c>
      <c r="DL69" t="s">
        <v>64</v>
      </c>
      <c r="DM69">
        <v>4</v>
      </c>
      <c r="DN69" t="s">
        <v>31</v>
      </c>
      <c r="DO69">
        <v>1</v>
      </c>
    </row>
    <row r="70" spans="1:119" x14ac:dyDescent="0.25">
      <c r="A70">
        <f>ROW(Source!A81)</f>
        <v>81</v>
      </c>
      <c r="B70">
        <v>78397139</v>
      </c>
      <c r="C70">
        <v>78397652</v>
      </c>
      <c r="D70">
        <v>77431957</v>
      </c>
      <c r="E70">
        <v>1</v>
      </c>
      <c r="F70">
        <v>1</v>
      </c>
      <c r="G70">
        <v>1</v>
      </c>
      <c r="H70">
        <v>2</v>
      </c>
      <c r="I70" t="s">
        <v>212</v>
      </c>
      <c r="J70" t="s">
        <v>673</v>
      </c>
      <c r="K70" t="s">
        <v>213</v>
      </c>
      <c r="L70">
        <v>1368</v>
      </c>
      <c r="N70">
        <v>1011</v>
      </c>
      <c r="O70" t="s">
        <v>59</v>
      </c>
      <c r="P70" t="s">
        <v>59</v>
      </c>
      <c r="Q70">
        <v>1</v>
      </c>
      <c r="W70">
        <v>0</v>
      </c>
      <c r="X70">
        <v>-1963587943</v>
      </c>
      <c r="Y70">
        <f>(AT70*ROUND(1.25,7))</f>
        <v>0.4</v>
      </c>
      <c r="AA70">
        <v>0</v>
      </c>
      <c r="AB70">
        <v>3.14</v>
      </c>
      <c r="AC70">
        <v>0</v>
      </c>
      <c r="AD70">
        <v>0</v>
      </c>
      <c r="AE70">
        <v>0</v>
      </c>
      <c r="AF70">
        <v>2.36</v>
      </c>
      <c r="AG70">
        <v>0</v>
      </c>
      <c r="AH70">
        <v>0</v>
      </c>
      <c r="AI70">
        <v>1</v>
      </c>
      <c r="AJ70">
        <v>1.33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332</v>
      </c>
      <c r="AT70">
        <v>0.32</v>
      </c>
      <c r="AU70" t="s">
        <v>401</v>
      </c>
      <c r="AV70">
        <v>1</v>
      </c>
      <c r="AW70">
        <v>2</v>
      </c>
      <c r="AX70">
        <v>78397657</v>
      </c>
      <c r="AY70">
        <v>1</v>
      </c>
      <c r="AZ70">
        <v>0</v>
      </c>
      <c r="BA70">
        <v>71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0.75519999999999998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0</v>
      </c>
      <c r="BR70">
        <v>0.94399999999999995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f>ROUND(Y70*Source!I81*DO70,7)</f>
        <v>0</v>
      </c>
      <c r="CX70">
        <f>ROUND(Y70*Source!I81,7)</f>
        <v>8.0000000000000002E-3</v>
      </c>
      <c r="CY70">
        <f>AB70</f>
        <v>3.14</v>
      </c>
      <c r="CZ70">
        <f>AF70</f>
        <v>2.36</v>
      </c>
      <c r="DA70">
        <f>AJ70</f>
        <v>1.33</v>
      </c>
      <c r="DB70">
        <f>ROUND((ROUND(AT70*CZ70,2)*ROUND(1.25,7)),6)</f>
        <v>0.95</v>
      </c>
      <c r="DC70">
        <f>ROUND((ROUND(AT70*AG70,2)*ROUND(1.25,7)),6)</f>
        <v>0</v>
      </c>
      <c r="DD70" t="s">
        <v>332</v>
      </c>
      <c r="DE70" t="s">
        <v>332</v>
      </c>
      <c r="DF70">
        <f t="shared" si="31"/>
        <v>0</v>
      </c>
      <c r="DG70">
        <f>ROUND(ROUND(AF70*AJ70,2)*CX70,2)</f>
        <v>0.03</v>
      </c>
      <c r="DH70">
        <f t="shared" si="32"/>
        <v>0</v>
      </c>
      <c r="DI70">
        <f t="shared" si="33"/>
        <v>0</v>
      </c>
      <c r="DJ70">
        <f>DG70+DH70</f>
        <v>0.03</v>
      </c>
      <c r="DK70">
        <v>0</v>
      </c>
      <c r="DL70" t="s">
        <v>332</v>
      </c>
      <c r="DM70">
        <v>0</v>
      </c>
      <c r="DN70" t="s">
        <v>332</v>
      </c>
      <c r="DO70">
        <v>0</v>
      </c>
    </row>
    <row r="71" spans="1:119" x14ac:dyDescent="0.25">
      <c r="A71">
        <f>ROW(Source!A81)</f>
        <v>81</v>
      </c>
      <c r="B71">
        <v>78397139</v>
      </c>
      <c r="C71">
        <v>78397652</v>
      </c>
      <c r="D71">
        <v>77497796</v>
      </c>
      <c r="E71">
        <v>1</v>
      </c>
      <c r="F71">
        <v>1</v>
      </c>
      <c r="G71">
        <v>1</v>
      </c>
      <c r="H71">
        <v>3</v>
      </c>
      <c r="I71" t="s">
        <v>494</v>
      </c>
      <c r="J71" t="s">
        <v>496</v>
      </c>
      <c r="K71" t="s">
        <v>495</v>
      </c>
      <c r="L71">
        <v>1327</v>
      </c>
      <c r="N71">
        <v>1005</v>
      </c>
      <c r="O71" t="s">
        <v>269</v>
      </c>
      <c r="P71" t="s">
        <v>269</v>
      </c>
      <c r="Q71">
        <v>1</v>
      </c>
      <c r="W71">
        <v>0</v>
      </c>
      <c r="X71">
        <v>-1344670603</v>
      </c>
      <c r="Y71">
        <f t="shared" ref="Y71:Y89" si="34">AT71</f>
        <v>111</v>
      </c>
      <c r="AA71">
        <v>153.66</v>
      </c>
      <c r="AB71">
        <v>0</v>
      </c>
      <c r="AC71">
        <v>0</v>
      </c>
      <c r="AD71">
        <v>0</v>
      </c>
      <c r="AE71">
        <v>108.98</v>
      </c>
      <c r="AF71">
        <v>0</v>
      </c>
      <c r="AG71">
        <v>0</v>
      </c>
      <c r="AH71">
        <v>0</v>
      </c>
      <c r="AI71">
        <v>1.41</v>
      </c>
      <c r="AJ71">
        <v>1</v>
      </c>
      <c r="AK71">
        <v>1</v>
      </c>
      <c r="AL71">
        <v>1</v>
      </c>
      <c r="AM71">
        <v>0</v>
      </c>
      <c r="AN71">
        <v>0</v>
      </c>
      <c r="AO71">
        <v>0</v>
      </c>
      <c r="AP71">
        <v>1</v>
      </c>
      <c r="AQ71">
        <v>0</v>
      </c>
      <c r="AR71">
        <v>0</v>
      </c>
      <c r="AS71" t="s">
        <v>332</v>
      </c>
      <c r="AT71">
        <v>111</v>
      </c>
      <c r="AU71" t="s">
        <v>332</v>
      </c>
      <c r="AV71">
        <v>0</v>
      </c>
      <c r="AW71">
        <v>1</v>
      </c>
      <c r="AX71">
        <v>-1</v>
      </c>
      <c r="AY71">
        <v>0</v>
      </c>
      <c r="AZ71">
        <v>0</v>
      </c>
      <c r="BA71" t="s">
        <v>332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ROUND(Y71*Source!I81,7)</f>
        <v>2.2200000000000002</v>
      </c>
      <c r="CY71">
        <f t="shared" ref="CY71:CY89" si="35">AA71</f>
        <v>153.66</v>
      </c>
      <c r="CZ71">
        <f t="shared" ref="CZ71:CZ89" si="36">AE71</f>
        <v>108.98</v>
      </c>
      <c r="DA71">
        <f t="shared" ref="DA71:DA89" si="37">AI71</f>
        <v>1.41</v>
      </c>
      <c r="DB71">
        <f t="shared" ref="DB71:DB89" si="38">ROUND(ROUND(AT71*CZ71,2),6)</f>
        <v>12096.78</v>
      </c>
      <c r="DC71">
        <f t="shared" ref="DC71:DC89" si="39">ROUND(ROUND(AT71*AG71,2),6)</f>
        <v>0</v>
      </c>
      <c r="DD71" t="s">
        <v>332</v>
      </c>
      <c r="DE71" t="s">
        <v>332</v>
      </c>
      <c r="DF71">
        <f>ROUND(ROUND(AE71*AI71,2)*CX71,2)</f>
        <v>341.13</v>
      </c>
      <c r="DG71">
        <f t="shared" ref="DG71:DG91" si="40">ROUND(ROUND(AF71,2)*CX71,2)</f>
        <v>0</v>
      </c>
      <c r="DH71">
        <f t="shared" si="32"/>
        <v>0</v>
      </c>
      <c r="DI71">
        <f t="shared" si="33"/>
        <v>0</v>
      </c>
      <c r="DJ71">
        <f t="shared" ref="DJ71:DJ89" si="41">DF71</f>
        <v>341.13</v>
      </c>
      <c r="DK71">
        <v>0</v>
      </c>
      <c r="DL71" t="s">
        <v>332</v>
      </c>
      <c r="DM71">
        <v>0</v>
      </c>
      <c r="DN71" t="s">
        <v>332</v>
      </c>
      <c r="DO71">
        <v>0</v>
      </c>
    </row>
    <row r="72" spans="1:119" x14ac:dyDescent="0.25">
      <c r="A72">
        <f>ROW(Source!A81)</f>
        <v>81</v>
      </c>
      <c r="B72">
        <v>78397139</v>
      </c>
      <c r="C72">
        <v>78397652</v>
      </c>
      <c r="D72">
        <v>77498097</v>
      </c>
      <c r="E72">
        <v>1</v>
      </c>
      <c r="F72">
        <v>1</v>
      </c>
      <c r="G72">
        <v>1</v>
      </c>
      <c r="H72">
        <v>3</v>
      </c>
      <c r="I72" t="s">
        <v>214</v>
      </c>
      <c r="J72" t="s">
        <v>674</v>
      </c>
      <c r="K72" t="s">
        <v>215</v>
      </c>
      <c r="L72">
        <v>1339</v>
      </c>
      <c r="N72">
        <v>1007</v>
      </c>
      <c r="O72" t="s">
        <v>104</v>
      </c>
      <c r="P72" t="s">
        <v>104</v>
      </c>
      <c r="Q72">
        <v>1</v>
      </c>
      <c r="W72">
        <v>0</v>
      </c>
      <c r="X72">
        <v>1964556667</v>
      </c>
      <c r="Y72">
        <f t="shared" si="34"/>
        <v>3.5999999999999997E-2</v>
      </c>
      <c r="AA72">
        <v>54.64</v>
      </c>
      <c r="AB72">
        <v>0</v>
      </c>
      <c r="AC72">
        <v>0</v>
      </c>
      <c r="AD72">
        <v>0</v>
      </c>
      <c r="AE72">
        <v>35.71</v>
      </c>
      <c r="AF72">
        <v>0</v>
      </c>
      <c r="AG72">
        <v>0</v>
      </c>
      <c r="AH72">
        <v>0</v>
      </c>
      <c r="AI72">
        <v>1.53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332</v>
      </c>
      <c r="AT72">
        <v>3.5999999999999997E-2</v>
      </c>
      <c r="AU72" t="s">
        <v>332</v>
      </c>
      <c r="AV72">
        <v>0</v>
      </c>
      <c r="AW72">
        <v>2</v>
      </c>
      <c r="AX72">
        <v>78397659</v>
      </c>
      <c r="AY72">
        <v>1</v>
      </c>
      <c r="AZ72">
        <v>0</v>
      </c>
      <c r="BA72">
        <v>73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1.28556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1.28556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ROUND(Y72*Source!I81,7)</f>
        <v>7.2000000000000005E-4</v>
      </c>
      <c r="CY72">
        <f t="shared" si="35"/>
        <v>54.64</v>
      </c>
      <c r="CZ72">
        <f t="shared" si="36"/>
        <v>35.71</v>
      </c>
      <c r="DA72">
        <f t="shared" si="37"/>
        <v>1.53</v>
      </c>
      <c r="DB72">
        <f t="shared" si="38"/>
        <v>1.29</v>
      </c>
      <c r="DC72">
        <f t="shared" si="39"/>
        <v>0</v>
      </c>
      <c r="DD72" t="s">
        <v>332</v>
      </c>
      <c r="DE72" t="s">
        <v>332</v>
      </c>
      <c r="DF72">
        <f>ROUND(ROUND(AE72*AI72,2)*CX72,2)</f>
        <v>0.04</v>
      </c>
      <c r="DG72">
        <f t="shared" si="40"/>
        <v>0</v>
      </c>
      <c r="DH72">
        <f t="shared" si="32"/>
        <v>0</v>
      </c>
      <c r="DI72">
        <f t="shared" si="33"/>
        <v>0</v>
      </c>
      <c r="DJ72">
        <f t="shared" si="41"/>
        <v>0.04</v>
      </c>
      <c r="DK72">
        <v>0</v>
      </c>
      <c r="DL72" t="s">
        <v>332</v>
      </c>
      <c r="DM72">
        <v>0</v>
      </c>
      <c r="DN72" t="s">
        <v>332</v>
      </c>
      <c r="DO72">
        <v>0</v>
      </c>
    </row>
    <row r="73" spans="1:119" x14ac:dyDescent="0.25">
      <c r="A73">
        <f>ROW(Source!A81)</f>
        <v>81</v>
      </c>
      <c r="B73">
        <v>78397139</v>
      </c>
      <c r="C73">
        <v>78397652</v>
      </c>
      <c r="D73">
        <v>77498109</v>
      </c>
      <c r="E73">
        <v>1</v>
      </c>
      <c r="F73">
        <v>1</v>
      </c>
      <c r="G73">
        <v>1</v>
      </c>
      <c r="H73">
        <v>3</v>
      </c>
      <c r="I73" t="s">
        <v>216</v>
      </c>
      <c r="J73" t="s">
        <v>675</v>
      </c>
      <c r="K73" t="s">
        <v>217</v>
      </c>
      <c r="L73">
        <v>1383</v>
      </c>
      <c r="N73">
        <v>1013</v>
      </c>
      <c r="O73" t="s">
        <v>218</v>
      </c>
      <c r="P73" t="s">
        <v>218</v>
      </c>
      <c r="Q73">
        <v>1</v>
      </c>
      <c r="W73">
        <v>0</v>
      </c>
      <c r="X73">
        <v>1840299850</v>
      </c>
      <c r="Y73">
        <f t="shared" si="34"/>
        <v>2.2320000000000002</v>
      </c>
      <c r="AA73">
        <v>6.78</v>
      </c>
      <c r="AB73">
        <v>0</v>
      </c>
      <c r="AC73">
        <v>0</v>
      </c>
      <c r="AD73">
        <v>0</v>
      </c>
      <c r="AE73">
        <v>6.78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332</v>
      </c>
      <c r="AT73">
        <v>2.2320000000000002</v>
      </c>
      <c r="AU73" t="s">
        <v>332</v>
      </c>
      <c r="AV73">
        <v>0</v>
      </c>
      <c r="AW73">
        <v>2</v>
      </c>
      <c r="AX73">
        <v>78397660</v>
      </c>
      <c r="AY73">
        <v>1</v>
      </c>
      <c r="AZ73">
        <v>0</v>
      </c>
      <c r="BA73">
        <v>74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15.132960000000001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15.132960000000001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ROUND(Y73*Source!I81,7)</f>
        <v>4.4639999999999999E-2</v>
      </c>
      <c r="CY73">
        <f t="shared" si="35"/>
        <v>6.78</v>
      </c>
      <c r="CZ73">
        <f t="shared" si="36"/>
        <v>6.78</v>
      </c>
      <c r="DA73">
        <f t="shared" si="37"/>
        <v>1</v>
      </c>
      <c r="DB73">
        <f t="shared" si="38"/>
        <v>15.13</v>
      </c>
      <c r="DC73">
        <f t="shared" si="39"/>
        <v>0</v>
      </c>
      <c r="DD73" t="s">
        <v>332</v>
      </c>
      <c r="DE73" t="s">
        <v>332</v>
      </c>
      <c r="DF73">
        <f>ROUND(ROUND(AE73,2)*CX73,2)</f>
        <v>0.3</v>
      </c>
      <c r="DG73">
        <f t="shared" si="40"/>
        <v>0</v>
      </c>
      <c r="DH73">
        <f t="shared" si="32"/>
        <v>0</v>
      </c>
      <c r="DI73">
        <f t="shared" si="33"/>
        <v>0</v>
      </c>
      <c r="DJ73">
        <f t="shared" si="41"/>
        <v>0.3</v>
      </c>
      <c r="DK73">
        <v>1</v>
      </c>
      <c r="DL73" t="s">
        <v>332</v>
      </c>
      <c r="DM73">
        <v>0</v>
      </c>
      <c r="DN73" t="s">
        <v>332</v>
      </c>
      <c r="DO73">
        <v>0</v>
      </c>
    </row>
    <row r="74" spans="1:119" x14ac:dyDescent="0.25">
      <c r="A74">
        <f>ROW(Source!A81)</f>
        <v>81</v>
      </c>
      <c r="B74">
        <v>78397139</v>
      </c>
      <c r="C74">
        <v>78397652</v>
      </c>
      <c r="D74">
        <v>77498236</v>
      </c>
      <c r="E74">
        <v>1</v>
      </c>
      <c r="F74">
        <v>1</v>
      </c>
      <c r="G74">
        <v>1</v>
      </c>
      <c r="H74">
        <v>3</v>
      </c>
      <c r="I74" t="s">
        <v>219</v>
      </c>
      <c r="J74" t="s">
        <v>676</v>
      </c>
      <c r="K74" t="s">
        <v>220</v>
      </c>
      <c r="L74">
        <v>1301</v>
      </c>
      <c r="N74">
        <v>1003</v>
      </c>
      <c r="O74" t="s">
        <v>69</v>
      </c>
      <c r="P74" t="s">
        <v>69</v>
      </c>
      <c r="Q74">
        <v>1</v>
      </c>
      <c r="W74">
        <v>0</v>
      </c>
      <c r="X74">
        <v>-597012983</v>
      </c>
      <c r="Y74">
        <f t="shared" si="34"/>
        <v>135</v>
      </c>
      <c r="AA74">
        <v>5.54</v>
      </c>
      <c r="AB74">
        <v>0</v>
      </c>
      <c r="AC74">
        <v>0</v>
      </c>
      <c r="AD74">
        <v>0</v>
      </c>
      <c r="AE74">
        <v>3.62</v>
      </c>
      <c r="AF74">
        <v>0</v>
      </c>
      <c r="AG74">
        <v>0</v>
      </c>
      <c r="AH74">
        <v>0</v>
      </c>
      <c r="AI74">
        <v>1.53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332</v>
      </c>
      <c r="AT74">
        <v>135</v>
      </c>
      <c r="AU74" t="s">
        <v>332</v>
      </c>
      <c r="AV74">
        <v>0</v>
      </c>
      <c r="AW74">
        <v>2</v>
      </c>
      <c r="AX74">
        <v>78397661</v>
      </c>
      <c r="AY74">
        <v>1</v>
      </c>
      <c r="AZ74">
        <v>0</v>
      </c>
      <c r="BA74">
        <v>75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488.7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488.7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ROUND(Y74*Source!I81,7)</f>
        <v>2.7</v>
      </c>
      <c r="CY74">
        <f t="shared" si="35"/>
        <v>5.54</v>
      </c>
      <c r="CZ74">
        <f t="shared" si="36"/>
        <v>3.62</v>
      </c>
      <c r="DA74">
        <f t="shared" si="37"/>
        <v>1.53</v>
      </c>
      <c r="DB74">
        <f t="shared" si="38"/>
        <v>488.7</v>
      </c>
      <c r="DC74">
        <f t="shared" si="39"/>
        <v>0</v>
      </c>
      <c r="DD74" t="s">
        <v>332</v>
      </c>
      <c r="DE74" t="s">
        <v>332</v>
      </c>
      <c r="DF74">
        <f t="shared" ref="DF74:DF88" si="42">ROUND(ROUND(AE74*AI74,2)*CX74,2)</f>
        <v>14.96</v>
      </c>
      <c r="DG74">
        <f t="shared" si="40"/>
        <v>0</v>
      </c>
      <c r="DH74">
        <f t="shared" si="32"/>
        <v>0</v>
      </c>
      <c r="DI74">
        <f t="shared" si="33"/>
        <v>0</v>
      </c>
      <c r="DJ74">
        <f t="shared" si="41"/>
        <v>14.96</v>
      </c>
      <c r="DK74">
        <v>0</v>
      </c>
      <c r="DL74" t="s">
        <v>332</v>
      </c>
      <c r="DM74">
        <v>0</v>
      </c>
      <c r="DN74" t="s">
        <v>332</v>
      </c>
      <c r="DO74">
        <v>0</v>
      </c>
    </row>
    <row r="75" spans="1:119" x14ac:dyDescent="0.25">
      <c r="A75">
        <f>ROW(Source!A81)</f>
        <v>81</v>
      </c>
      <c r="B75">
        <v>78397139</v>
      </c>
      <c r="C75">
        <v>78397652</v>
      </c>
      <c r="D75">
        <v>77498263</v>
      </c>
      <c r="E75">
        <v>1</v>
      </c>
      <c r="F75">
        <v>1</v>
      </c>
      <c r="G75">
        <v>1</v>
      </c>
      <c r="H75">
        <v>3</v>
      </c>
      <c r="I75" t="s">
        <v>221</v>
      </c>
      <c r="J75" t="s">
        <v>677</v>
      </c>
      <c r="K75" t="s">
        <v>222</v>
      </c>
      <c r="L75">
        <v>1301</v>
      </c>
      <c r="N75">
        <v>1003</v>
      </c>
      <c r="O75" t="s">
        <v>69</v>
      </c>
      <c r="P75" t="s">
        <v>69</v>
      </c>
      <c r="Q75">
        <v>1</v>
      </c>
      <c r="W75">
        <v>0</v>
      </c>
      <c r="X75">
        <v>-352413378</v>
      </c>
      <c r="Y75">
        <f t="shared" si="34"/>
        <v>68</v>
      </c>
      <c r="AA75">
        <v>2.29</v>
      </c>
      <c r="AB75">
        <v>0</v>
      </c>
      <c r="AC75">
        <v>0</v>
      </c>
      <c r="AD75">
        <v>0</v>
      </c>
      <c r="AE75">
        <v>2.6</v>
      </c>
      <c r="AF75">
        <v>0</v>
      </c>
      <c r="AG75">
        <v>0</v>
      </c>
      <c r="AH75">
        <v>0</v>
      </c>
      <c r="AI75">
        <v>0.88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332</v>
      </c>
      <c r="AT75">
        <v>68</v>
      </c>
      <c r="AU75" t="s">
        <v>332</v>
      </c>
      <c r="AV75">
        <v>0</v>
      </c>
      <c r="AW75">
        <v>2</v>
      </c>
      <c r="AX75">
        <v>78397662</v>
      </c>
      <c r="AY75">
        <v>1</v>
      </c>
      <c r="AZ75">
        <v>0</v>
      </c>
      <c r="BA75">
        <v>76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176.8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176.8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ROUND(Y75*Source!I81,7)</f>
        <v>1.36</v>
      </c>
      <c r="CY75">
        <f t="shared" si="35"/>
        <v>2.29</v>
      </c>
      <c r="CZ75">
        <f t="shared" si="36"/>
        <v>2.6</v>
      </c>
      <c r="DA75">
        <f t="shared" si="37"/>
        <v>0.88</v>
      </c>
      <c r="DB75">
        <f t="shared" si="38"/>
        <v>176.8</v>
      </c>
      <c r="DC75">
        <f t="shared" si="39"/>
        <v>0</v>
      </c>
      <c r="DD75" t="s">
        <v>332</v>
      </c>
      <c r="DE75" t="s">
        <v>332</v>
      </c>
      <c r="DF75">
        <f t="shared" si="42"/>
        <v>3.11</v>
      </c>
      <c r="DG75">
        <f t="shared" si="40"/>
        <v>0</v>
      </c>
      <c r="DH75">
        <f t="shared" si="32"/>
        <v>0</v>
      </c>
      <c r="DI75">
        <f t="shared" si="33"/>
        <v>0</v>
      </c>
      <c r="DJ75">
        <f t="shared" si="41"/>
        <v>3.11</v>
      </c>
      <c r="DK75">
        <v>0</v>
      </c>
      <c r="DL75" t="s">
        <v>332</v>
      </c>
      <c r="DM75">
        <v>0</v>
      </c>
      <c r="DN75" t="s">
        <v>332</v>
      </c>
      <c r="DO75">
        <v>0</v>
      </c>
    </row>
    <row r="76" spans="1:119" x14ac:dyDescent="0.25">
      <c r="A76">
        <f>ROW(Source!A81)</f>
        <v>81</v>
      </c>
      <c r="B76">
        <v>78397139</v>
      </c>
      <c r="C76">
        <v>78397652</v>
      </c>
      <c r="D76">
        <v>77498266</v>
      </c>
      <c r="E76">
        <v>1</v>
      </c>
      <c r="F76">
        <v>1</v>
      </c>
      <c r="G76">
        <v>1</v>
      </c>
      <c r="H76">
        <v>3</v>
      </c>
      <c r="I76" t="s">
        <v>223</v>
      </c>
      <c r="J76" t="s">
        <v>678</v>
      </c>
      <c r="K76" t="s">
        <v>224</v>
      </c>
      <c r="L76">
        <v>1308</v>
      </c>
      <c r="N76">
        <v>1003</v>
      </c>
      <c r="O76" t="s">
        <v>225</v>
      </c>
      <c r="P76" t="s">
        <v>225</v>
      </c>
      <c r="Q76">
        <v>100</v>
      </c>
      <c r="W76">
        <v>0</v>
      </c>
      <c r="X76">
        <v>-1067129031</v>
      </c>
      <c r="Y76">
        <f t="shared" si="34"/>
        <v>1.35</v>
      </c>
      <c r="AA76">
        <v>2991.5</v>
      </c>
      <c r="AB76">
        <v>0</v>
      </c>
      <c r="AC76">
        <v>0</v>
      </c>
      <c r="AD76">
        <v>0</v>
      </c>
      <c r="AE76">
        <v>1955.23</v>
      </c>
      <c r="AF76">
        <v>0</v>
      </c>
      <c r="AG76">
        <v>0</v>
      </c>
      <c r="AH76">
        <v>0</v>
      </c>
      <c r="AI76">
        <v>1.53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332</v>
      </c>
      <c r="AT76">
        <v>1.35</v>
      </c>
      <c r="AU76" t="s">
        <v>332</v>
      </c>
      <c r="AV76">
        <v>0</v>
      </c>
      <c r="AW76">
        <v>2</v>
      </c>
      <c r="AX76">
        <v>78397663</v>
      </c>
      <c r="AY76">
        <v>1</v>
      </c>
      <c r="AZ76">
        <v>0</v>
      </c>
      <c r="BA76">
        <v>77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2639.5605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2639.5605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1</v>
      </c>
      <c r="CV76">
        <v>0</v>
      </c>
      <c r="CW76">
        <v>0</v>
      </c>
      <c r="CX76">
        <f>ROUND(Y76*Source!I81,7)</f>
        <v>2.7E-2</v>
      </c>
      <c r="CY76">
        <f t="shared" si="35"/>
        <v>2991.5</v>
      </c>
      <c r="CZ76">
        <f t="shared" si="36"/>
        <v>1955.23</v>
      </c>
      <c r="DA76">
        <f t="shared" si="37"/>
        <v>1.53</v>
      </c>
      <c r="DB76">
        <f t="shared" si="38"/>
        <v>2639.56</v>
      </c>
      <c r="DC76">
        <f t="shared" si="39"/>
        <v>0</v>
      </c>
      <c r="DD76" t="s">
        <v>332</v>
      </c>
      <c r="DE76" t="s">
        <v>332</v>
      </c>
      <c r="DF76">
        <f t="shared" si="42"/>
        <v>80.77</v>
      </c>
      <c r="DG76">
        <f t="shared" si="40"/>
        <v>0</v>
      </c>
      <c r="DH76">
        <f t="shared" si="32"/>
        <v>0</v>
      </c>
      <c r="DI76">
        <f t="shared" si="33"/>
        <v>0</v>
      </c>
      <c r="DJ76">
        <f t="shared" si="41"/>
        <v>80.77</v>
      </c>
      <c r="DK76">
        <v>0</v>
      </c>
      <c r="DL76" t="s">
        <v>332</v>
      </c>
      <c r="DM76">
        <v>0</v>
      </c>
      <c r="DN76" t="s">
        <v>332</v>
      </c>
      <c r="DO76">
        <v>0</v>
      </c>
    </row>
    <row r="77" spans="1:119" x14ac:dyDescent="0.25">
      <c r="A77">
        <f>ROW(Source!A81)</f>
        <v>81</v>
      </c>
      <c r="B77">
        <v>78397139</v>
      </c>
      <c r="C77">
        <v>78397652</v>
      </c>
      <c r="D77">
        <v>77499682</v>
      </c>
      <c r="E77">
        <v>1</v>
      </c>
      <c r="F77">
        <v>1</v>
      </c>
      <c r="G77">
        <v>1</v>
      </c>
      <c r="H77">
        <v>3</v>
      </c>
      <c r="I77" t="s">
        <v>226</v>
      </c>
      <c r="J77" t="s">
        <v>679</v>
      </c>
      <c r="K77" t="s">
        <v>227</v>
      </c>
      <c r="L77">
        <v>1425</v>
      </c>
      <c r="N77">
        <v>1013</v>
      </c>
      <c r="O77" t="s">
        <v>228</v>
      </c>
      <c r="P77" t="s">
        <v>228</v>
      </c>
      <c r="Q77">
        <v>1</v>
      </c>
      <c r="W77">
        <v>0</v>
      </c>
      <c r="X77">
        <v>1692132601</v>
      </c>
      <c r="Y77">
        <f t="shared" si="34"/>
        <v>0.81</v>
      </c>
      <c r="AA77">
        <v>230.45</v>
      </c>
      <c r="AB77">
        <v>0</v>
      </c>
      <c r="AC77">
        <v>0</v>
      </c>
      <c r="AD77">
        <v>0</v>
      </c>
      <c r="AE77">
        <v>178.64</v>
      </c>
      <c r="AF77">
        <v>0</v>
      </c>
      <c r="AG77">
        <v>0</v>
      </c>
      <c r="AH77">
        <v>0</v>
      </c>
      <c r="AI77">
        <v>1.29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332</v>
      </c>
      <c r="AT77">
        <v>0.81</v>
      </c>
      <c r="AU77" t="s">
        <v>332</v>
      </c>
      <c r="AV77">
        <v>0</v>
      </c>
      <c r="AW77">
        <v>2</v>
      </c>
      <c r="AX77">
        <v>78397664</v>
      </c>
      <c r="AY77">
        <v>1</v>
      </c>
      <c r="AZ77">
        <v>0</v>
      </c>
      <c r="BA77">
        <v>78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144.69839999999999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1</v>
      </c>
      <c r="BQ77">
        <v>144.69839999999999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1</v>
      </c>
      <c r="CV77">
        <v>0</v>
      </c>
      <c r="CW77">
        <v>0</v>
      </c>
      <c r="CX77">
        <f>ROUND(Y77*Source!I81,7)</f>
        <v>1.6199999999999999E-2</v>
      </c>
      <c r="CY77">
        <f t="shared" si="35"/>
        <v>230.45</v>
      </c>
      <c r="CZ77">
        <f t="shared" si="36"/>
        <v>178.64</v>
      </c>
      <c r="DA77">
        <f t="shared" si="37"/>
        <v>1.29</v>
      </c>
      <c r="DB77">
        <f t="shared" si="38"/>
        <v>144.69999999999999</v>
      </c>
      <c r="DC77">
        <f t="shared" si="39"/>
        <v>0</v>
      </c>
      <c r="DD77" t="s">
        <v>332</v>
      </c>
      <c r="DE77" t="s">
        <v>332</v>
      </c>
      <c r="DF77">
        <f t="shared" si="42"/>
        <v>3.73</v>
      </c>
      <c r="DG77">
        <f t="shared" si="40"/>
        <v>0</v>
      </c>
      <c r="DH77">
        <f t="shared" si="32"/>
        <v>0</v>
      </c>
      <c r="DI77">
        <f t="shared" si="33"/>
        <v>0</v>
      </c>
      <c r="DJ77">
        <f t="shared" si="41"/>
        <v>3.73</v>
      </c>
      <c r="DK77">
        <v>0</v>
      </c>
      <c r="DL77" t="s">
        <v>332</v>
      </c>
      <c r="DM77">
        <v>0</v>
      </c>
      <c r="DN77" t="s">
        <v>332</v>
      </c>
      <c r="DO77">
        <v>0</v>
      </c>
    </row>
    <row r="78" spans="1:119" x14ac:dyDescent="0.25">
      <c r="A78">
        <f>ROW(Source!A81)</f>
        <v>81</v>
      </c>
      <c r="B78">
        <v>78397139</v>
      </c>
      <c r="C78">
        <v>78397652</v>
      </c>
      <c r="D78">
        <v>77499707</v>
      </c>
      <c r="E78">
        <v>1</v>
      </c>
      <c r="F78">
        <v>1</v>
      </c>
      <c r="G78">
        <v>1</v>
      </c>
      <c r="H78">
        <v>3</v>
      </c>
      <c r="I78" t="s">
        <v>229</v>
      </c>
      <c r="J78" t="s">
        <v>680</v>
      </c>
      <c r="K78" t="s">
        <v>230</v>
      </c>
      <c r="L78">
        <v>1425</v>
      </c>
      <c r="N78">
        <v>1013</v>
      </c>
      <c r="O78" t="s">
        <v>228</v>
      </c>
      <c r="P78" t="s">
        <v>228</v>
      </c>
      <c r="Q78">
        <v>1</v>
      </c>
      <c r="W78">
        <v>0</v>
      </c>
      <c r="X78">
        <v>1434886024</v>
      </c>
      <c r="Y78">
        <f t="shared" si="34"/>
        <v>3.22</v>
      </c>
      <c r="AA78">
        <v>64.900000000000006</v>
      </c>
      <c r="AB78">
        <v>0</v>
      </c>
      <c r="AC78">
        <v>0</v>
      </c>
      <c r="AD78">
        <v>0</v>
      </c>
      <c r="AE78">
        <v>52.34</v>
      </c>
      <c r="AF78">
        <v>0</v>
      </c>
      <c r="AG78">
        <v>0</v>
      </c>
      <c r="AH78">
        <v>0</v>
      </c>
      <c r="AI78">
        <v>1.24</v>
      </c>
      <c r="AJ78">
        <v>1</v>
      </c>
      <c r="AK78">
        <v>1</v>
      </c>
      <c r="AL78">
        <v>1</v>
      </c>
      <c r="AM78">
        <v>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332</v>
      </c>
      <c r="AT78">
        <v>3.22</v>
      </c>
      <c r="AU78" t="s">
        <v>332</v>
      </c>
      <c r="AV78">
        <v>0</v>
      </c>
      <c r="AW78">
        <v>2</v>
      </c>
      <c r="AX78">
        <v>78397665</v>
      </c>
      <c r="AY78">
        <v>1</v>
      </c>
      <c r="AZ78">
        <v>0</v>
      </c>
      <c r="BA78">
        <v>79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168.53479999999999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1</v>
      </c>
      <c r="BQ78">
        <v>168.53479999999999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1</v>
      </c>
      <c r="CV78">
        <v>0</v>
      </c>
      <c r="CW78">
        <v>0</v>
      </c>
      <c r="CX78">
        <f>ROUND(Y78*Source!I81,7)</f>
        <v>6.4399999999999999E-2</v>
      </c>
      <c r="CY78">
        <f t="shared" si="35"/>
        <v>64.900000000000006</v>
      </c>
      <c r="CZ78">
        <f t="shared" si="36"/>
        <v>52.34</v>
      </c>
      <c r="DA78">
        <f t="shared" si="37"/>
        <v>1.24</v>
      </c>
      <c r="DB78">
        <f t="shared" si="38"/>
        <v>168.53</v>
      </c>
      <c r="DC78">
        <f t="shared" si="39"/>
        <v>0</v>
      </c>
      <c r="DD78" t="s">
        <v>332</v>
      </c>
      <c r="DE78" t="s">
        <v>332</v>
      </c>
      <c r="DF78">
        <f t="shared" si="42"/>
        <v>4.18</v>
      </c>
      <c r="DG78">
        <f t="shared" si="40"/>
        <v>0</v>
      </c>
      <c r="DH78">
        <f t="shared" si="32"/>
        <v>0</v>
      </c>
      <c r="DI78">
        <f t="shared" si="33"/>
        <v>0</v>
      </c>
      <c r="DJ78">
        <f t="shared" si="41"/>
        <v>4.18</v>
      </c>
      <c r="DK78">
        <v>0</v>
      </c>
      <c r="DL78" t="s">
        <v>332</v>
      </c>
      <c r="DM78">
        <v>0</v>
      </c>
      <c r="DN78" t="s">
        <v>332</v>
      </c>
      <c r="DO78">
        <v>0</v>
      </c>
    </row>
    <row r="79" spans="1:119" x14ac:dyDescent="0.25">
      <c r="A79">
        <f>ROW(Source!A81)</f>
        <v>81</v>
      </c>
      <c r="B79">
        <v>78397139</v>
      </c>
      <c r="C79">
        <v>78397652</v>
      </c>
      <c r="D79">
        <v>77499920</v>
      </c>
      <c r="E79">
        <v>1</v>
      </c>
      <c r="F79">
        <v>1</v>
      </c>
      <c r="G79">
        <v>1</v>
      </c>
      <c r="H79">
        <v>3</v>
      </c>
      <c r="I79" t="s">
        <v>231</v>
      </c>
      <c r="J79" t="s">
        <v>681</v>
      </c>
      <c r="K79" t="s">
        <v>232</v>
      </c>
      <c r="L79">
        <v>1425</v>
      </c>
      <c r="N79">
        <v>1013</v>
      </c>
      <c r="O79" t="s">
        <v>228</v>
      </c>
      <c r="P79" t="s">
        <v>228</v>
      </c>
      <c r="Q79">
        <v>1</v>
      </c>
      <c r="W79">
        <v>0</v>
      </c>
      <c r="X79">
        <v>1358325652</v>
      </c>
      <c r="Y79">
        <f t="shared" si="34"/>
        <v>3.68</v>
      </c>
      <c r="AA79">
        <v>29.58</v>
      </c>
      <c r="AB79">
        <v>0</v>
      </c>
      <c r="AC79">
        <v>0</v>
      </c>
      <c r="AD79">
        <v>0</v>
      </c>
      <c r="AE79">
        <v>22.93</v>
      </c>
      <c r="AF79">
        <v>0</v>
      </c>
      <c r="AG79">
        <v>0</v>
      </c>
      <c r="AH79">
        <v>0</v>
      </c>
      <c r="AI79">
        <v>1.29</v>
      </c>
      <c r="AJ79">
        <v>1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332</v>
      </c>
      <c r="AT79">
        <v>3.68</v>
      </c>
      <c r="AU79" t="s">
        <v>332</v>
      </c>
      <c r="AV79">
        <v>0</v>
      </c>
      <c r="AW79">
        <v>2</v>
      </c>
      <c r="AX79">
        <v>78397666</v>
      </c>
      <c r="AY79">
        <v>1</v>
      </c>
      <c r="AZ79">
        <v>0</v>
      </c>
      <c r="BA79">
        <v>80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84.382400000000004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84.382400000000004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v>0</v>
      </c>
      <c r="CX79">
        <f>ROUND(Y79*Source!I81,7)</f>
        <v>7.3599999999999999E-2</v>
      </c>
      <c r="CY79">
        <f t="shared" si="35"/>
        <v>29.58</v>
      </c>
      <c r="CZ79">
        <f t="shared" si="36"/>
        <v>22.93</v>
      </c>
      <c r="DA79">
        <f t="shared" si="37"/>
        <v>1.29</v>
      </c>
      <c r="DB79">
        <f t="shared" si="38"/>
        <v>84.38</v>
      </c>
      <c r="DC79">
        <f t="shared" si="39"/>
        <v>0</v>
      </c>
      <c r="DD79" t="s">
        <v>332</v>
      </c>
      <c r="DE79" t="s">
        <v>332</v>
      </c>
      <c r="DF79">
        <f t="shared" si="42"/>
        <v>2.1800000000000002</v>
      </c>
      <c r="DG79">
        <f t="shared" si="40"/>
        <v>0</v>
      </c>
      <c r="DH79">
        <f t="shared" si="32"/>
        <v>0</v>
      </c>
      <c r="DI79">
        <f t="shared" si="33"/>
        <v>0</v>
      </c>
      <c r="DJ79">
        <f t="shared" si="41"/>
        <v>2.1800000000000002</v>
      </c>
      <c r="DK79">
        <v>0</v>
      </c>
      <c r="DL79" t="s">
        <v>332</v>
      </c>
      <c r="DM79">
        <v>0</v>
      </c>
      <c r="DN79" t="s">
        <v>332</v>
      </c>
      <c r="DO79">
        <v>0</v>
      </c>
    </row>
    <row r="80" spans="1:119" x14ac:dyDescent="0.25">
      <c r="A80">
        <f>ROW(Source!A81)</f>
        <v>81</v>
      </c>
      <c r="B80">
        <v>78397139</v>
      </c>
      <c r="C80">
        <v>78397652</v>
      </c>
      <c r="D80">
        <v>77499922</v>
      </c>
      <c r="E80">
        <v>1</v>
      </c>
      <c r="F80">
        <v>1</v>
      </c>
      <c r="G80">
        <v>1</v>
      </c>
      <c r="H80">
        <v>3</v>
      </c>
      <c r="I80" t="s">
        <v>233</v>
      </c>
      <c r="J80" t="s">
        <v>682</v>
      </c>
      <c r="K80" t="s">
        <v>234</v>
      </c>
      <c r="L80">
        <v>1425</v>
      </c>
      <c r="N80">
        <v>1013</v>
      </c>
      <c r="O80" t="s">
        <v>228</v>
      </c>
      <c r="P80" t="s">
        <v>228</v>
      </c>
      <c r="Q80">
        <v>1</v>
      </c>
      <c r="W80">
        <v>0</v>
      </c>
      <c r="X80">
        <v>-337852558</v>
      </c>
      <c r="Y80">
        <f t="shared" si="34"/>
        <v>22.21</v>
      </c>
      <c r="AA80">
        <v>29.46</v>
      </c>
      <c r="AB80">
        <v>0</v>
      </c>
      <c r="AC80">
        <v>0</v>
      </c>
      <c r="AD80">
        <v>0</v>
      </c>
      <c r="AE80">
        <v>22.84</v>
      </c>
      <c r="AF80">
        <v>0</v>
      </c>
      <c r="AG80">
        <v>0</v>
      </c>
      <c r="AH80">
        <v>0</v>
      </c>
      <c r="AI80">
        <v>1.29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332</v>
      </c>
      <c r="AT80">
        <v>22.21</v>
      </c>
      <c r="AU80" t="s">
        <v>332</v>
      </c>
      <c r="AV80">
        <v>0</v>
      </c>
      <c r="AW80">
        <v>2</v>
      </c>
      <c r="AX80">
        <v>78397667</v>
      </c>
      <c r="AY80">
        <v>1</v>
      </c>
      <c r="AZ80">
        <v>0</v>
      </c>
      <c r="BA80">
        <v>81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507.27640000000002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507.27640000000002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ROUND(Y80*Source!I81,7)</f>
        <v>0.44419999999999998</v>
      </c>
      <c r="CY80">
        <f t="shared" si="35"/>
        <v>29.46</v>
      </c>
      <c r="CZ80">
        <f t="shared" si="36"/>
        <v>22.84</v>
      </c>
      <c r="DA80">
        <f t="shared" si="37"/>
        <v>1.29</v>
      </c>
      <c r="DB80">
        <f t="shared" si="38"/>
        <v>507.28</v>
      </c>
      <c r="DC80">
        <f t="shared" si="39"/>
        <v>0</v>
      </c>
      <c r="DD80" t="s">
        <v>332</v>
      </c>
      <c r="DE80" t="s">
        <v>332</v>
      </c>
      <c r="DF80">
        <f t="shared" si="42"/>
        <v>13.09</v>
      </c>
      <c r="DG80">
        <f t="shared" si="40"/>
        <v>0</v>
      </c>
      <c r="DH80">
        <f t="shared" si="32"/>
        <v>0</v>
      </c>
      <c r="DI80">
        <f t="shared" si="33"/>
        <v>0</v>
      </c>
      <c r="DJ80">
        <f t="shared" si="41"/>
        <v>13.09</v>
      </c>
      <c r="DK80">
        <v>0</v>
      </c>
      <c r="DL80" t="s">
        <v>332</v>
      </c>
      <c r="DM80">
        <v>0</v>
      </c>
      <c r="DN80" t="s">
        <v>332</v>
      </c>
      <c r="DO80">
        <v>0</v>
      </c>
    </row>
    <row r="81" spans="1:119" x14ac:dyDescent="0.25">
      <c r="A81">
        <f>ROW(Source!A81)</f>
        <v>81</v>
      </c>
      <c r="B81">
        <v>78397139</v>
      </c>
      <c r="C81">
        <v>78397652</v>
      </c>
      <c r="D81">
        <v>77504512</v>
      </c>
      <c r="E81">
        <v>1</v>
      </c>
      <c r="F81">
        <v>1</v>
      </c>
      <c r="G81">
        <v>1</v>
      </c>
      <c r="H81">
        <v>3</v>
      </c>
      <c r="I81" t="s">
        <v>235</v>
      </c>
      <c r="J81" t="s">
        <v>683</v>
      </c>
      <c r="K81" t="s">
        <v>236</v>
      </c>
      <c r="L81">
        <v>1301</v>
      </c>
      <c r="N81">
        <v>1003</v>
      </c>
      <c r="O81" t="s">
        <v>69</v>
      </c>
      <c r="P81" t="s">
        <v>69</v>
      </c>
      <c r="Q81">
        <v>1</v>
      </c>
      <c r="W81">
        <v>0</v>
      </c>
      <c r="X81">
        <v>-1704379270</v>
      </c>
      <c r="Y81">
        <f t="shared" si="34"/>
        <v>136</v>
      </c>
      <c r="AA81">
        <v>38.86</v>
      </c>
      <c r="AB81">
        <v>0</v>
      </c>
      <c r="AC81">
        <v>0</v>
      </c>
      <c r="AD81">
        <v>0</v>
      </c>
      <c r="AE81">
        <v>44.16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332</v>
      </c>
      <c r="AT81">
        <v>136</v>
      </c>
      <c r="AU81" t="s">
        <v>332</v>
      </c>
      <c r="AV81">
        <v>0</v>
      </c>
      <c r="AW81">
        <v>2</v>
      </c>
      <c r="AX81">
        <v>78397668</v>
      </c>
      <c r="AY81">
        <v>1</v>
      </c>
      <c r="AZ81">
        <v>0</v>
      </c>
      <c r="BA81">
        <v>82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6005.76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6005.76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ROUND(Y81*Source!I81,7)</f>
        <v>2.72</v>
      </c>
      <c r="CY81">
        <f t="shared" si="35"/>
        <v>38.86</v>
      </c>
      <c r="CZ81">
        <f t="shared" si="36"/>
        <v>44.16</v>
      </c>
      <c r="DA81">
        <f t="shared" si="37"/>
        <v>0.88</v>
      </c>
      <c r="DB81">
        <f t="shared" si="38"/>
        <v>6005.76</v>
      </c>
      <c r="DC81">
        <f t="shared" si="39"/>
        <v>0</v>
      </c>
      <c r="DD81" t="s">
        <v>332</v>
      </c>
      <c r="DE81" t="s">
        <v>332</v>
      </c>
      <c r="DF81">
        <f t="shared" si="42"/>
        <v>105.7</v>
      </c>
      <c r="DG81">
        <f t="shared" si="40"/>
        <v>0</v>
      </c>
      <c r="DH81">
        <f t="shared" si="32"/>
        <v>0</v>
      </c>
      <c r="DI81">
        <f t="shared" si="33"/>
        <v>0</v>
      </c>
      <c r="DJ81">
        <f t="shared" si="41"/>
        <v>105.7</v>
      </c>
      <c r="DK81">
        <v>0</v>
      </c>
      <c r="DL81" t="s">
        <v>332</v>
      </c>
      <c r="DM81">
        <v>0</v>
      </c>
      <c r="DN81" t="s">
        <v>332</v>
      </c>
      <c r="DO81">
        <v>0</v>
      </c>
    </row>
    <row r="82" spans="1:119" x14ac:dyDescent="0.25">
      <c r="A82">
        <f>ROW(Source!A81)</f>
        <v>81</v>
      </c>
      <c r="B82">
        <v>78397139</v>
      </c>
      <c r="C82">
        <v>78397652</v>
      </c>
      <c r="D82">
        <v>77504515</v>
      </c>
      <c r="E82">
        <v>1</v>
      </c>
      <c r="F82">
        <v>1</v>
      </c>
      <c r="G82">
        <v>1</v>
      </c>
      <c r="H82">
        <v>3</v>
      </c>
      <c r="I82" t="s">
        <v>237</v>
      </c>
      <c r="J82" t="s">
        <v>684</v>
      </c>
      <c r="K82" t="s">
        <v>238</v>
      </c>
      <c r="L82">
        <v>1301</v>
      </c>
      <c r="N82">
        <v>1003</v>
      </c>
      <c r="O82" t="s">
        <v>69</v>
      </c>
      <c r="P82" t="s">
        <v>69</v>
      </c>
      <c r="Q82">
        <v>1</v>
      </c>
      <c r="W82">
        <v>0</v>
      </c>
      <c r="X82">
        <v>1971221091</v>
      </c>
      <c r="Y82">
        <f t="shared" si="34"/>
        <v>306</v>
      </c>
      <c r="AA82">
        <v>56.71</v>
      </c>
      <c r="AB82">
        <v>0</v>
      </c>
      <c r="AC82">
        <v>0</v>
      </c>
      <c r="AD82">
        <v>0</v>
      </c>
      <c r="AE82">
        <v>64.44</v>
      </c>
      <c r="AF82">
        <v>0</v>
      </c>
      <c r="AG82">
        <v>0</v>
      </c>
      <c r="AH82">
        <v>0</v>
      </c>
      <c r="AI82">
        <v>0.88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332</v>
      </c>
      <c r="AT82">
        <v>306</v>
      </c>
      <c r="AU82" t="s">
        <v>332</v>
      </c>
      <c r="AV82">
        <v>0</v>
      </c>
      <c r="AW82">
        <v>2</v>
      </c>
      <c r="AX82">
        <v>78397669</v>
      </c>
      <c r="AY82">
        <v>1</v>
      </c>
      <c r="AZ82">
        <v>0</v>
      </c>
      <c r="BA82">
        <v>83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19718.64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19718.64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ROUND(Y82*Source!I81,7)</f>
        <v>6.12</v>
      </c>
      <c r="CY82">
        <f t="shared" si="35"/>
        <v>56.71</v>
      </c>
      <c r="CZ82">
        <f t="shared" si="36"/>
        <v>64.44</v>
      </c>
      <c r="DA82">
        <f t="shared" si="37"/>
        <v>0.88</v>
      </c>
      <c r="DB82">
        <f t="shared" si="38"/>
        <v>19718.64</v>
      </c>
      <c r="DC82">
        <f t="shared" si="39"/>
        <v>0</v>
      </c>
      <c r="DD82" t="s">
        <v>332</v>
      </c>
      <c r="DE82" t="s">
        <v>332</v>
      </c>
      <c r="DF82">
        <f t="shared" si="42"/>
        <v>347.07</v>
      </c>
      <c r="DG82">
        <f t="shared" si="40"/>
        <v>0</v>
      </c>
      <c r="DH82">
        <f t="shared" si="32"/>
        <v>0</v>
      </c>
      <c r="DI82">
        <f t="shared" si="33"/>
        <v>0</v>
      </c>
      <c r="DJ82">
        <f t="shared" si="41"/>
        <v>347.07</v>
      </c>
      <c r="DK82">
        <v>0</v>
      </c>
      <c r="DL82" t="s">
        <v>332</v>
      </c>
      <c r="DM82">
        <v>0</v>
      </c>
      <c r="DN82" t="s">
        <v>332</v>
      </c>
      <c r="DO82">
        <v>0</v>
      </c>
    </row>
    <row r="83" spans="1:119" x14ac:dyDescent="0.25">
      <c r="A83">
        <f>ROW(Source!A81)</f>
        <v>81</v>
      </c>
      <c r="B83">
        <v>78397139</v>
      </c>
      <c r="C83">
        <v>78397652</v>
      </c>
      <c r="D83">
        <v>77504650</v>
      </c>
      <c r="E83">
        <v>1</v>
      </c>
      <c r="F83">
        <v>1</v>
      </c>
      <c r="G83">
        <v>1</v>
      </c>
      <c r="H83">
        <v>3</v>
      </c>
      <c r="I83" t="s">
        <v>239</v>
      </c>
      <c r="J83" t="s">
        <v>685</v>
      </c>
      <c r="K83" t="s">
        <v>240</v>
      </c>
      <c r="L83">
        <v>1425</v>
      </c>
      <c r="N83">
        <v>1013</v>
      </c>
      <c r="O83" t="s">
        <v>228</v>
      </c>
      <c r="P83" t="s">
        <v>228</v>
      </c>
      <c r="Q83">
        <v>1</v>
      </c>
      <c r="W83">
        <v>0</v>
      </c>
      <c r="X83">
        <v>11416154</v>
      </c>
      <c r="Y83">
        <f t="shared" si="34"/>
        <v>0.81</v>
      </c>
      <c r="AA83">
        <v>3576.21</v>
      </c>
      <c r="AB83">
        <v>0</v>
      </c>
      <c r="AC83">
        <v>0</v>
      </c>
      <c r="AD83">
        <v>0</v>
      </c>
      <c r="AE83">
        <v>2384.14</v>
      </c>
      <c r="AF83">
        <v>0</v>
      </c>
      <c r="AG83">
        <v>0</v>
      </c>
      <c r="AH83">
        <v>0</v>
      </c>
      <c r="AI83">
        <v>1.5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332</v>
      </c>
      <c r="AT83">
        <v>0.81</v>
      </c>
      <c r="AU83" t="s">
        <v>332</v>
      </c>
      <c r="AV83">
        <v>0</v>
      </c>
      <c r="AW83">
        <v>2</v>
      </c>
      <c r="AX83">
        <v>78397671</v>
      </c>
      <c r="AY83">
        <v>1</v>
      </c>
      <c r="AZ83">
        <v>0</v>
      </c>
      <c r="BA83">
        <v>85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1931.1533999999999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1931.1533999999999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ROUND(Y83*Source!I81,7)</f>
        <v>1.6199999999999999E-2</v>
      </c>
      <c r="CY83">
        <f t="shared" si="35"/>
        <v>3576.21</v>
      </c>
      <c r="CZ83">
        <f t="shared" si="36"/>
        <v>2384.14</v>
      </c>
      <c r="DA83">
        <f t="shared" si="37"/>
        <v>1.5</v>
      </c>
      <c r="DB83">
        <f t="shared" si="38"/>
        <v>1931.15</v>
      </c>
      <c r="DC83">
        <f t="shared" si="39"/>
        <v>0</v>
      </c>
      <c r="DD83" t="s">
        <v>332</v>
      </c>
      <c r="DE83" t="s">
        <v>332</v>
      </c>
      <c r="DF83">
        <f t="shared" si="42"/>
        <v>57.93</v>
      </c>
      <c r="DG83">
        <f t="shared" si="40"/>
        <v>0</v>
      </c>
      <c r="DH83">
        <f t="shared" si="32"/>
        <v>0</v>
      </c>
      <c r="DI83">
        <f t="shared" si="33"/>
        <v>0</v>
      </c>
      <c r="DJ83">
        <f t="shared" si="41"/>
        <v>57.93</v>
      </c>
      <c r="DK83">
        <v>0</v>
      </c>
      <c r="DL83" t="s">
        <v>332</v>
      </c>
      <c r="DM83">
        <v>0</v>
      </c>
      <c r="DN83" t="s">
        <v>332</v>
      </c>
      <c r="DO83">
        <v>0</v>
      </c>
    </row>
    <row r="84" spans="1:119" x14ac:dyDescent="0.25">
      <c r="A84">
        <f>ROW(Source!A81)</f>
        <v>81</v>
      </c>
      <c r="B84">
        <v>78397139</v>
      </c>
      <c r="C84">
        <v>78397652</v>
      </c>
      <c r="D84">
        <v>77504656</v>
      </c>
      <c r="E84">
        <v>1</v>
      </c>
      <c r="F84">
        <v>1</v>
      </c>
      <c r="G84">
        <v>1</v>
      </c>
      <c r="H84">
        <v>3</v>
      </c>
      <c r="I84" t="s">
        <v>498</v>
      </c>
      <c r="J84" t="s">
        <v>500</v>
      </c>
      <c r="K84" t="s">
        <v>499</v>
      </c>
      <c r="L84">
        <v>1425</v>
      </c>
      <c r="N84">
        <v>1013</v>
      </c>
      <c r="O84" t="s">
        <v>228</v>
      </c>
      <c r="P84" t="s">
        <v>228</v>
      </c>
      <c r="Q84">
        <v>1</v>
      </c>
      <c r="W84">
        <v>0</v>
      </c>
      <c r="X84">
        <v>340984185</v>
      </c>
      <c r="Y84">
        <f t="shared" si="34"/>
        <v>81</v>
      </c>
      <c r="AA84">
        <v>2043.83</v>
      </c>
      <c r="AB84">
        <v>0</v>
      </c>
      <c r="AC84">
        <v>0</v>
      </c>
      <c r="AD84">
        <v>0</v>
      </c>
      <c r="AE84">
        <v>1362.55</v>
      </c>
      <c r="AF84">
        <v>0</v>
      </c>
      <c r="AG84">
        <v>0</v>
      </c>
      <c r="AH84">
        <v>0</v>
      </c>
      <c r="AI84">
        <v>1.5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332</v>
      </c>
      <c r="AT84">
        <v>81</v>
      </c>
      <c r="AU84" t="s">
        <v>332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332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ROUND(Y84*Source!I81,7)</f>
        <v>1.62</v>
      </c>
      <c r="CY84">
        <f t="shared" si="35"/>
        <v>2043.83</v>
      </c>
      <c r="CZ84">
        <f t="shared" si="36"/>
        <v>1362.55</v>
      </c>
      <c r="DA84">
        <f t="shared" si="37"/>
        <v>1.5</v>
      </c>
      <c r="DB84">
        <f t="shared" si="38"/>
        <v>110366.55</v>
      </c>
      <c r="DC84">
        <f t="shared" si="39"/>
        <v>0</v>
      </c>
      <c r="DD84" t="s">
        <v>332</v>
      </c>
      <c r="DE84" t="s">
        <v>332</v>
      </c>
      <c r="DF84">
        <f t="shared" si="42"/>
        <v>3311</v>
      </c>
      <c r="DG84">
        <f t="shared" si="40"/>
        <v>0</v>
      </c>
      <c r="DH84">
        <f t="shared" si="32"/>
        <v>0</v>
      </c>
      <c r="DI84">
        <f t="shared" si="33"/>
        <v>0</v>
      </c>
      <c r="DJ84">
        <f t="shared" si="41"/>
        <v>3311</v>
      </c>
      <c r="DK84">
        <v>0</v>
      </c>
      <c r="DL84" t="s">
        <v>332</v>
      </c>
      <c r="DM84">
        <v>0</v>
      </c>
      <c r="DN84" t="s">
        <v>332</v>
      </c>
      <c r="DO84">
        <v>0</v>
      </c>
    </row>
    <row r="85" spans="1:119" x14ac:dyDescent="0.25">
      <c r="A85">
        <f>ROW(Source!A81)</f>
        <v>81</v>
      </c>
      <c r="B85">
        <v>78397139</v>
      </c>
      <c r="C85">
        <v>78397652</v>
      </c>
      <c r="D85">
        <v>77504698</v>
      </c>
      <c r="E85">
        <v>1</v>
      </c>
      <c r="F85">
        <v>1</v>
      </c>
      <c r="G85">
        <v>1</v>
      </c>
      <c r="H85">
        <v>3</v>
      </c>
      <c r="I85" t="s">
        <v>241</v>
      </c>
      <c r="J85" t="s">
        <v>686</v>
      </c>
      <c r="K85" t="s">
        <v>242</v>
      </c>
      <c r="L85">
        <v>1425</v>
      </c>
      <c r="N85">
        <v>1013</v>
      </c>
      <c r="O85" t="s">
        <v>228</v>
      </c>
      <c r="P85" t="s">
        <v>228</v>
      </c>
      <c r="Q85">
        <v>1</v>
      </c>
      <c r="W85">
        <v>0</v>
      </c>
      <c r="X85">
        <v>-651633969</v>
      </c>
      <c r="Y85">
        <f t="shared" si="34"/>
        <v>0.81</v>
      </c>
      <c r="AA85">
        <v>2552.9899999999998</v>
      </c>
      <c r="AB85">
        <v>0</v>
      </c>
      <c r="AC85">
        <v>0</v>
      </c>
      <c r="AD85">
        <v>0</v>
      </c>
      <c r="AE85">
        <v>1701.99</v>
      </c>
      <c r="AF85">
        <v>0</v>
      </c>
      <c r="AG85">
        <v>0</v>
      </c>
      <c r="AH85">
        <v>0</v>
      </c>
      <c r="AI85">
        <v>1.5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332</v>
      </c>
      <c r="AT85">
        <v>0.81</v>
      </c>
      <c r="AU85" t="s">
        <v>332</v>
      </c>
      <c r="AV85">
        <v>0</v>
      </c>
      <c r="AW85">
        <v>2</v>
      </c>
      <c r="AX85">
        <v>78397672</v>
      </c>
      <c r="AY85">
        <v>1</v>
      </c>
      <c r="AZ85">
        <v>0</v>
      </c>
      <c r="BA85">
        <v>86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1378.6119000000001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1378.6119000000001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ROUND(Y85*Source!I81,7)</f>
        <v>1.6199999999999999E-2</v>
      </c>
      <c r="CY85">
        <f t="shared" si="35"/>
        <v>2552.9899999999998</v>
      </c>
      <c r="CZ85">
        <f t="shared" si="36"/>
        <v>1701.99</v>
      </c>
      <c r="DA85">
        <f t="shared" si="37"/>
        <v>1.5</v>
      </c>
      <c r="DB85">
        <f t="shared" si="38"/>
        <v>1378.61</v>
      </c>
      <c r="DC85">
        <f t="shared" si="39"/>
        <v>0</v>
      </c>
      <c r="DD85" t="s">
        <v>332</v>
      </c>
      <c r="DE85" t="s">
        <v>332</v>
      </c>
      <c r="DF85">
        <f t="shared" si="42"/>
        <v>41.36</v>
      </c>
      <c r="DG85">
        <f t="shared" si="40"/>
        <v>0</v>
      </c>
      <c r="DH85">
        <f t="shared" si="32"/>
        <v>0</v>
      </c>
      <c r="DI85">
        <f t="shared" si="33"/>
        <v>0</v>
      </c>
      <c r="DJ85">
        <f t="shared" si="41"/>
        <v>41.36</v>
      </c>
      <c r="DK85">
        <v>0</v>
      </c>
      <c r="DL85" t="s">
        <v>332</v>
      </c>
      <c r="DM85">
        <v>0</v>
      </c>
      <c r="DN85" t="s">
        <v>332</v>
      </c>
      <c r="DO85">
        <v>0</v>
      </c>
    </row>
    <row r="86" spans="1:119" x14ac:dyDescent="0.25">
      <c r="A86">
        <f>ROW(Source!A81)</f>
        <v>81</v>
      </c>
      <c r="B86">
        <v>78397139</v>
      </c>
      <c r="C86">
        <v>78397652</v>
      </c>
      <c r="D86">
        <v>77504700</v>
      </c>
      <c r="E86">
        <v>1</v>
      </c>
      <c r="F86">
        <v>1</v>
      </c>
      <c r="G86">
        <v>1</v>
      </c>
      <c r="H86">
        <v>3</v>
      </c>
      <c r="I86" t="s">
        <v>243</v>
      </c>
      <c r="J86" t="s">
        <v>687</v>
      </c>
      <c r="K86" t="s">
        <v>244</v>
      </c>
      <c r="L86">
        <v>1425</v>
      </c>
      <c r="N86">
        <v>1013</v>
      </c>
      <c r="O86" t="s">
        <v>228</v>
      </c>
      <c r="P86" t="s">
        <v>228</v>
      </c>
      <c r="Q86">
        <v>1</v>
      </c>
      <c r="W86">
        <v>0</v>
      </c>
      <c r="X86">
        <v>-1726419075</v>
      </c>
      <c r="Y86">
        <f t="shared" si="34"/>
        <v>1.83</v>
      </c>
      <c r="AA86">
        <v>3020.21</v>
      </c>
      <c r="AB86">
        <v>0</v>
      </c>
      <c r="AC86">
        <v>0</v>
      </c>
      <c r="AD86">
        <v>0</v>
      </c>
      <c r="AE86">
        <v>2013.47</v>
      </c>
      <c r="AF86">
        <v>0</v>
      </c>
      <c r="AG86">
        <v>0</v>
      </c>
      <c r="AH86">
        <v>0</v>
      </c>
      <c r="AI86">
        <v>1.5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332</v>
      </c>
      <c r="AT86">
        <v>1.83</v>
      </c>
      <c r="AU86" t="s">
        <v>332</v>
      </c>
      <c r="AV86">
        <v>0</v>
      </c>
      <c r="AW86">
        <v>2</v>
      </c>
      <c r="AX86">
        <v>78397673</v>
      </c>
      <c r="AY86">
        <v>1</v>
      </c>
      <c r="AZ86">
        <v>0</v>
      </c>
      <c r="BA86">
        <v>87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3684.6500999999998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3684.6500999999998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ROUND(Y86*Source!I81,7)</f>
        <v>3.6600000000000001E-2</v>
      </c>
      <c r="CY86">
        <f t="shared" si="35"/>
        <v>3020.21</v>
      </c>
      <c r="CZ86">
        <f t="shared" si="36"/>
        <v>2013.47</v>
      </c>
      <c r="DA86">
        <f t="shared" si="37"/>
        <v>1.5</v>
      </c>
      <c r="DB86">
        <f t="shared" si="38"/>
        <v>3684.65</v>
      </c>
      <c r="DC86">
        <f t="shared" si="39"/>
        <v>0</v>
      </c>
      <c r="DD86" t="s">
        <v>332</v>
      </c>
      <c r="DE86" t="s">
        <v>332</v>
      </c>
      <c r="DF86">
        <f t="shared" si="42"/>
        <v>110.54</v>
      </c>
      <c r="DG86">
        <f t="shared" si="40"/>
        <v>0</v>
      </c>
      <c r="DH86">
        <f t="shared" si="32"/>
        <v>0</v>
      </c>
      <c r="DI86">
        <f t="shared" si="33"/>
        <v>0</v>
      </c>
      <c r="DJ86">
        <f t="shared" si="41"/>
        <v>110.54</v>
      </c>
      <c r="DK86">
        <v>0</v>
      </c>
      <c r="DL86" t="s">
        <v>332</v>
      </c>
      <c r="DM86">
        <v>0</v>
      </c>
      <c r="DN86" t="s">
        <v>332</v>
      </c>
      <c r="DO86">
        <v>0</v>
      </c>
    </row>
    <row r="87" spans="1:119" x14ac:dyDescent="0.25">
      <c r="A87">
        <f>ROW(Source!A81)</f>
        <v>81</v>
      </c>
      <c r="B87">
        <v>78397139</v>
      </c>
      <c r="C87">
        <v>78397652</v>
      </c>
      <c r="D87">
        <v>77516684</v>
      </c>
      <c r="E87">
        <v>1</v>
      </c>
      <c r="F87">
        <v>1</v>
      </c>
      <c r="G87">
        <v>1</v>
      </c>
      <c r="H87">
        <v>3</v>
      </c>
      <c r="I87" t="s">
        <v>245</v>
      </c>
      <c r="J87" t="s">
        <v>688</v>
      </c>
      <c r="K87" t="s">
        <v>246</v>
      </c>
      <c r="L87">
        <v>1346</v>
      </c>
      <c r="N87">
        <v>1009</v>
      </c>
      <c r="O87" t="s">
        <v>111</v>
      </c>
      <c r="P87" t="s">
        <v>111</v>
      </c>
      <c r="Q87">
        <v>1</v>
      </c>
      <c r="W87">
        <v>0</v>
      </c>
      <c r="X87">
        <v>1498993938</v>
      </c>
      <c r="Y87">
        <f t="shared" si="34"/>
        <v>10</v>
      </c>
      <c r="AA87">
        <v>105.17</v>
      </c>
      <c r="AB87">
        <v>0</v>
      </c>
      <c r="AC87">
        <v>0</v>
      </c>
      <c r="AD87">
        <v>0</v>
      </c>
      <c r="AE87">
        <v>68.290000000000006</v>
      </c>
      <c r="AF87">
        <v>0</v>
      </c>
      <c r="AG87">
        <v>0</v>
      </c>
      <c r="AH87">
        <v>0</v>
      </c>
      <c r="AI87">
        <v>1.54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332</v>
      </c>
      <c r="AT87">
        <v>10</v>
      </c>
      <c r="AU87" t="s">
        <v>332</v>
      </c>
      <c r="AV87">
        <v>0</v>
      </c>
      <c r="AW87">
        <v>2</v>
      </c>
      <c r="AX87">
        <v>78397674</v>
      </c>
      <c r="AY87">
        <v>1</v>
      </c>
      <c r="AZ87">
        <v>0</v>
      </c>
      <c r="BA87">
        <v>88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682.9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682.9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ROUND(Y87*Source!I81,7)</f>
        <v>0.2</v>
      </c>
      <c r="CY87">
        <f t="shared" si="35"/>
        <v>105.17</v>
      </c>
      <c r="CZ87">
        <f t="shared" si="36"/>
        <v>68.290000000000006</v>
      </c>
      <c r="DA87">
        <f t="shared" si="37"/>
        <v>1.54</v>
      </c>
      <c r="DB87">
        <f t="shared" si="38"/>
        <v>682.9</v>
      </c>
      <c r="DC87">
        <f t="shared" si="39"/>
        <v>0</v>
      </c>
      <c r="DD87" t="s">
        <v>332</v>
      </c>
      <c r="DE87" t="s">
        <v>332</v>
      </c>
      <c r="DF87">
        <f t="shared" si="42"/>
        <v>21.03</v>
      </c>
      <c r="DG87">
        <f t="shared" si="40"/>
        <v>0</v>
      </c>
      <c r="DH87">
        <f t="shared" si="32"/>
        <v>0</v>
      </c>
      <c r="DI87">
        <f t="shared" si="33"/>
        <v>0</v>
      </c>
      <c r="DJ87">
        <f t="shared" si="41"/>
        <v>21.03</v>
      </c>
      <c r="DK87">
        <v>0</v>
      </c>
      <c r="DL87" t="s">
        <v>332</v>
      </c>
      <c r="DM87">
        <v>0</v>
      </c>
      <c r="DN87" t="s">
        <v>332</v>
      </c>
      <c r="DO87">
        <v>0</v>
      </c>
    </row>
    <row r="88" spans="1:119" x14ac:dyDescent="0.25">
      <c r="A88">
        <f>ROW(Source!A81)</f>
        <v>81</v>
      </c>
      <c r="B88">
        <v>78397139</v>
      </c>
      <c r="C88">
        <v>78397652</v>
      </c>
      <c r="D88">
        <v>77517227</v>
      </c>
      <c r="E88">
        <v>1</v>
      </c>
      <c r="F88">
        <v>1</v>
      </c>
      <c r="G88">
        <v>1</v>
      </c>
      <c r="H88">
        <v>3</v>
      </c>
      <c r="I88" t="s">
        <v>247</v>
      </c>
      <c r="J88" t="s">
        <v>689</v>
      </c>
      <c r="K88" t="s">
        <v>248</v>
      </c>
      <c r="L88">
        <v>1346</v>
      </c>
      <c r="N88">
        <v>1009</v>
      </c>
      <c r="O88" t="s">
        <v>111</v>
      </c>
      <c r="P88" t="s">
        <v>111</v>
      </c>
      <c r="Q88">
        <v>1</v>
      </c>
      <c r="W88">
        <v>0</v>
      </c>
      <c r="X88">
        <v>-1859948564</v>
      </c>
      <c r="Y88">
        <f t="shared" si="34"/>
        <v>4</v>
      </c>
      <c r="AA88">
        <v>88.8</v>
      </c>
      <c r="AB88">
        <v>0</v>
      </c>
      <c r="AC88">
        <v>0</v>
      </c>
      <c r="AD88">
        <v>0</v>
      </c>
      <c r="AE88">
        <v>66.77</v>
      </c>
      <c r="AF88">
        <v>0</v>
      </c>
      <c r="AG88">
        <v>0</v>
      </c>
      <c r="AH88">
        <v>0</v>
      </c>
      <c r="AI88">
        <v>1.33</v>
      </c>
      <c r="AJ88">
        <v>1</v>
      </c>
      <c r="AK88">
        <v>1</v>
      </c>
      <c r="AL88">
        <v>1</v>
      </c>
      <c r="AM88">
        <v>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332</v>
      </c>
      <c r="AT88">
        <v>4</v>
      </c>
      <c r="AU88" t="s">
        <v>332</v>
      </c>
      <c r="AV88">
        <v>0</v>
      </c>
      <c r="AW88">
        <v>2</v>
      </c>
      <c r="AX88">
        <v>78397675</v>
      </c>
      <c r="AY88">
        <v>1</v>
      </c>
      <c r="AZ88">
        <v>0</v>
      </c>
      <c r="BA88">
        <v>89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267.08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267.08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CV88">
        <v>0</v>
      </c>
      <c r="CW88">
        <v>0</v>
      </c>
      <c r="CX88">
        <f>ROUND(Y88*Source!I81,7)</f>
        <v>0.08</v>
      </c>
      <c r="CY88">
        <f t="shared" si="35"/>
        <v>88.8</v>
      </c>
      <c r="CZ88">
        <f t="shared" si="36"/>
        <v>66.77</v>
      </c>
      <c r="DA88">
        <f t="shared" si="37"/>
        <v>1.33</v>
      </c>
      <c r="DB88">
        <f t="shared" si="38"/>
        <v>267.08</v>
      </c>
      <c r="DC88">
        <f t="shared" si="39"/>
        <v>0</v>
      </c>
      <c r="DD88" t="s">
        <v>332</v>
      </c>
      <c r="DE88" t="s">
        <v>332</v>
      </c>
      <c r="DF88">
        <f t="shared" si="42"/>
        <v>7.1</v>
      </c>
      <c r="DG88">
        <f t="shared" si="40"/>
        <v>0</v>
      </c>
      <c r="DH88">
        <f t="shared" si="32"/>
        <v>0</v>
      </c>
      <c r="DI88">
        <f t="shared" si="33"/>
        <v>0</v>
      </c>
      <c r="DJ88">
        <f t="shared" si="41"/>
        <v>7.1</v>
      </c>
      <c r="DK88">
        <v>0</v>
      </c>
      <c r="DL88" t="s">
        <v>332</v>
      </c>
      <c r="DM88">
        <v>0</v>
      </c>
      <c r="DN88" t="s">
        <v>332</v>
      </c>
      <c r="DO88">
        <v>0</v>
      </c>
    </row>
    <row r="89" spans="1:119" x14ac:dyDescent="0.25">
      <c r="A89">
        <f>ROW(Source!A81)</f>
        <v>81</v>
      </c>
      <c r="B89">
        <v>78397139</v>
      </c>
      <c r="C89">
        <v>78397652</v>
      </c>
      <c r="D89">
        <v>77517230</v>
      </c>
      <c r="E89">
        <v>1</v>
      </c>
      <c r="F89">
        <v>1</v>
      </c>
      <c r="G89">
        <v>1</v>
      </c>
      <c r="H89">
        <v>3</v>
      </c>
      <c r="I89" t="s">
        <v>249</v>
      </c>
      <c r="J89" t="s">
        <v>690</v>
      </c>
      <c r="K89" t="s">
        <v>250</v>
      </c>
      <c r="L89">
        <v>1346</v>
      </c>
      <c r="N89">
        <v>1009</v>
      </c>
      <c r="O89" t="s">
        <v>111</v>
      </c>
      <c r="P89" t="s">
        <v>111</v>
      </c>
      <c r="Q89">
        <v>1</v>
      </c>
      <c r="W89">
        <v>0</v>
      </c>
      <c r="X89">
        <v>-1761843472</v>
      </c>
      <c r="Y89">
        <f t="shared" si="34"/>
        <v>42</v>
      </c>
      <c r="AA89">
        <v>19.809999999999999</v>
      </c>
      <c r="AB89">
        <v>0</v>
      </c>
      <c r="AC89">
        <v>0</v>
      </c>
      <c r="AD89">
        <v>0</v>
      </c>
      <c r="AE89">
        <v>19.809999999999999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332</v>
      </c>
      <c r="AT89">
        <v>42</v>
      </c>
      <c r="AU89" t="s">
        <v>332</v>
      </c>
      <c r="AV89">
        <v>0</v>
      </c>
      <c r="AW89">
        <v>2</v>
      </c>
      <c r="AX89">
        <v>78397676</v>
      </c>
      <c r="AY89">
        <v>1</v>
      </c>
      <c r="AZ89">
        <v>0</v>
      </c>
      <c r="BA89">
        <v>90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832.02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832.02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ROUND(Y89*Source!I81,7)</f>
        <v>0.84</v>
      </c>
      <c r="CY89">
        <f t="shared" si="35"/>
        <v>19.809999999999999</v>
      </c>
      <c r="CZ89">
        <f t="shared" si="36"/>
        <v>19.809999999999999</v>
      </c>
      <c r="DA89">
        <f t="shared" si="37"/>
        <v>1</v>
      </c>
      <c r="DB89">
        <f t="shared" si="38"/>
        <v>832.02</v>
      </c>
      <c r="DC89">
        <f t="shared" si="39"/>
        <v>0</v>
      </c>
      <c r="DD89" t="s">
        <v>332</v>
      </c>
      <c r="DE89" t="s">
        <v>332</v>
      </c>
      <c r="DF89">
        <f>ROUND(ROUND(AE89,2)*CX89,2)</f>
        <v>16.64</v>
      </c>
      <c r="DG89">
        <f t="shared" si="40"/>
        <v>0</v>
      </c>
      <c r="DH89">
        <f t="shared" si="32"/>
        <v>0</v>
      </c>
      <c r="DI89">
        <f t="shared" si="33"/>
        <v>0</v>
      </c>
      <c r="DJ89">
        <f t="shared" si="41"/>
        <v>16.64</v>
      </c>
      <c r="DK89">
        <v>1</v>
      </c>
      <c r="DL89" t="s">
        <v>332</v>
      </c>
      <c r="DM89">
        <v>0</v>
      </c>
      <c r="DN89" t="s">
        <v>332</v>
      </c>
      <c r="DO89">
        <v>0</v>
      </c>
    </row>
    <row r="90" spans="1:119" x14ac:dyDescent="0.25">
      <c r="A90">
        <f>ROW(Source!A84)</f>
        <v>84</v>
      </c>
      <c r="B90">
        <v>78397139</v>
      </c>
      <c r="C90">
        <v>78397683</v>
      </c>
      <c r="D90">
        <v>77423772</v>
      </c>
      <c r="E90">
        <v>117</v>
      </c>
      <c r="F90">
        <v>1</v>
      </c>
      <c r="G90">
        <v>1</v>
      </c>
      <c r="H90">
        <v>1</v>
      </c>
      <c r="I90" t="s">
        <v>53</v>
      </c>
      <c r="J90" t="s">
        <v>332</v>
      </c>
      <c r="K90" t="s">
        <v>54</v>
      </c>
      <c r="L90">
        <v>1191</v>
      </c>
      <c r="N90">
        <v>1013</v>
      </c>
      <c r="O90" t="s">
        <v>31</v>
      </c>
      <c r="P90" t="s">
        <v>31</v>
      </c>
      <c r="Q90">
        <v>1</v>
      </c>
      <c r="W90">
        <v>0</v>
      </c>
      <c r="X90">
        <v>-715079457</v>
      </c>
      <c r="Y90">
        <f>(AT90*ROUND(1.15,7))</f>
        <v>34.270000000000003</v>
      </c>
      <c r="AA90">
        <v>0</v>
      </c>
      <c r="AB90">
        <v>0</v>
      </c>
      <c r="AC90">
        <v>0</v>
      </c>
      <c r="AD90">
        <v>681.63</v>
      </c>
      <c r="AE90">
        <v>0</v>
      </c>
      <c r="AF90">
        <v>0</v>
      </c>
      <c r="AG90">
        <v>0</v>
      </c>
      <c r="AH90">
        <v>681.63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332</v>
      </c>
      <c r="AT90">
        <v>29.8</v>
      </c>
      <c r="AU90" t="s">
        <v>402</v>
      </c>
      <c r="AV90">
        <v>1</v>
      </c>
      <c r="AW90">
        <v>2</v>
      </c>
      <c r="AX90">
        <v>78397684</v>
      </c>
      <c r="AY90">
        <v>1</v>
      </c>
      <c r="AZ90">
        <v>0</v>
      </c>
      <c r="BA90">
        <v>91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20312.574000000001</v>
      </c>
      <c r="BN90">
        <v>29.8</v>
      </c>
      <c r="BO90">
        <v>0</v>
      </c>
      <c r="BP90">
        <v>1</v>
      </c>
      <c r="BQ90">
        <v>0</v>
      </c>
      <c r="BR90">
        <v>0</v>
      </c>
      <c r="BS90">
        <v>0</v>
      </c>
      <c r="BT90">
        <v>23359.4601</v>
      </c>
      <c r="BU90">
        <v>34.270000000000003</v>
      </c>
      <c r="BV90">
        <v>0</v>
      </c>
      <c r="BW90">
        <v>1</v>
      </c>
      <c r="CU90">
        <f>ROUND(AT90*Source!I84*AH90*AL90,2)</f>
        <v>406.25</v>
      </c>
      <c r="CV90">
        <f>ROUND(Y90*Source!I84,7)</f>
        <v>0.68540000000000001</v>
      </c>
      <c r="CW90">
        <v>0</v>
      </c>
      <c r="CX90">
        <f>ROUND(Y90*Source!I84,7)</f>
        <v>0.68540000000000001</v>
      </c>
      <c r="CY90">
        <f>AD90</f>
        <v>681.63</v>
      </c>
      <c r="CZ90">
        <f>AH90</f>
        <v>681.63</v>
      </c>
      <c r="DA90">
        <f>AL90</f>
        <v>1</v>
      </c>
      <c r="DB90">
        <f>ROUND((ROUND(AT90*CZ90,2)*ROUND(1.15,7)),6)</f>
        <v>23359.4555</v>
      </c>
      <c r="DC90">
        <f>ROUND((ROUND(AT90*AG90,2)*ROUND(1.15,7)),6)</f>
        <v>0</v>
      </c>
      <c r="DD90" t="s">
        <v>332</v>
      </c>
      <c r="DE90" t="s">
        <v>332</v>
      </c>
      <c r="DF90">
        <f>ROUND(ROUND(AE90,2)*CX90,2)</f>
        <v>0</v>
      </c>
      <c r="DG90">
        <f t="shared" si="40"/>
        <v>0</v>
      </c>
      <c r="DH90">
        <f t="shared" si="32"/>
        <v>0</v>
      </c>
      <c r="DI90">
        <f t="shared" si="33"/>
        <v>467.19</v>
      </c>
      <c r="DJ90">
        <f>DI90</f>
        <v>467.19</v>
      </c>
      <c r="DK90">
        <v>1</v>
      </c>
      <c r="DL90" t="s">
        <v>332</v>
      </c>
      <c r="DM90">
        <v>0</v>
      </c>
      <c r="DN90" t="s">
        <v>332</v>
      </c>
      <c r="DO90">
        <v>0</v>
      </c>
    </row>
    <row r="91" spans="1:119" x14ac:dyDescent="0.25">
      <c r="A91">
        <f>ROW(Source!A84)</f>
        <v>84</v>
      </c>
      <c r="B91">
        <v>78397139</v>
      </c>
      <c r="C91">
        <v>78397683</v>
      </c>
      <c r="D91">
        <v>77423956</v>
      </c>
      <c r="E91">
        <v>117</v>
      </c>
      <c r="F91">
        <v>1</v>
      </c>
      <c r="G91">
        <v>1</v>
      </c>
      <c r="H91">
        <v>1</v>
      </c>
      <c r="I91" t="s">
        <v>647</v>
      </c>
      <c r="J91" t="s">
        <v>332</v>
      </c>
      <c r="K91" t="s">
        <v>648</v>
      </c>
      <c r="L91">
        <v>1191</v>
      </c>
      <c r="N91">
        <v>1013</v>
      </c>
      <c r="O91" t="s">
        <v>31</v>
      </c>
      <c r="P91" t="s">
        <v>31</v>
      </c>
      <c r="Q91">
        <v>1</v>
      </c>
      <c r="W91">
        <v>0</v>
      </c>
      <c r="X91">
        <v>-1417349443</v>
      </c>
      <c r="Y91">
        <f>(AT91*ROUND(1.25,7))</f>
        <v>0.13750000000000001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332</v>
      </c>
      <c r="AT91">
        <v>0.11</v>
      </c>
      <c r="AU91" t="s">
        <v>401</v>
      </c>
      <c r="AV91">
        <v>2</v>
      </c>
      <c r="AW91">
        <v>2</v>
      </c>
      <c r="AX91">
        <v>78397685</v>
      </c>
      <c r="AY91">
        <v>1</v>
      </c>
      <c r="AZ91">
        <v>0</v>
      </c>
      <c r="BA91">
        <v>92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ROUND(Y91*Source!I84,7)</f>
        <v>2.7499999999999998E-3</v>
      </c>
      <c r="CY91">
        <f>AD91</f>
        <v>0</v>
      </c>
      <c r="CZ91">
        <f>AH91</f>
        <v>0</v>
      </c>
      <c r="DA91">
        <f>AL91</f>
        <v>1</v>
      </c>
      <c r="DB91">
        <f>ROUND((ROUND(AT91*CZ91,2)*ROUND(1.25,7)),6)</f>
        <v>0</v>
      </c>
      <c r="DC91">
        <f>ROUND((ROUND(AT91*AG91,2)*ROUND(1.25,7)),6)</f>
        <v>0</v>
      </c>
      <c r="DD91" t="s">
        <v>332</v>
      </c>
      <c r="DE91" t="s">
        <v>332</v>
      </c>
      <c r="DF91">
        <f>ROUND(ROUND(AE91,2)*CX91,2)</f>
        <v>0</v>
      </c>
      <c r="DG91">
        <f t="shared" si="40"/>
        <v>0</v>
      </c>
      <c r="DH91">
        <f t="shared" si="32"/>
        <v>0</v>
      </c>
      <c r="DI91">
        <f t="shared" si="33"/>
        <v>0</v>
      </c>
      <c r="DJ91">
        <f>DI91</f>
        <v>0</v>
      </c>
      <c r="DK91">
        <v>0</v>
      </c>
      <c r="DL91" t="s">
        <v>332</v>
      </c>
      <c r="DM91">
        <v>0</v>
      </c>
      <c r="DN91" t="s">
        <v>332</v>
      </c>
      <c r="DO91">
        <v>0</v>
      </c>
    </row>
    <row r="92" spans="1:119" x14ac:dyDescent="0.25">
      <c r="A92">
        <f>ROW(Source!A84)</f>
        <v>84</v>
      </c>
      <c r="B92">
        <v>78397139</v>
      </c>
      <c r="C92">
        <v>78397683</v>
      </c>
      <c r="D92">
        <v>77430632</v>
      </c>
      <c r="E92">
        <v>1</v>
      </c>
      <c r="F92">
        <v>1</v>
      </c>
      <c r="G92">
        <v>1</v>
      </c>
      <c r="H92">
        <v>2</v>
      </c>
      <c r="I92" t="s">
        <v>57</v>
      </c>
      <c r="J92" t="s">
        <v>649</v>
      </c>
      <c r="K92" t="s">
        <v>58</v>
      </c>
      <c r="L92">
        <v>1368</v>
      </c>
      <c r="N92">
        <v>1011</v>
      </c>
      <c r="O92" t="s">
        <v>59</v>
      </c>
      <c r="P92" t="s">
        <v>59</v>
      </c>
      <c r="Q92">
        <v>1</v>
      </c>
      <c r="W92">
        <v>0</v>
      </c>
      <c r="X92">
        <v>945201097</v>
      </c>
      <c r="Y92">
        <f>(AT92*ROUND(1.25,7))</f>
        <v>0.13750000000000001</v>
      </c>
      <c r="AA92">
        <v>0</v>
      </c>
      <c r="AB92">
        <v>57.47</v>
      </c>
      <c r="AC92">
        <v>641.22</v>
      </c>
      <c r="AD92">
        <v>0</v>
      </c>
      <c r="AE92">
        <v>0</v>
      </c>
      <c r="AF92">
        <v>37.32</v>
      </c>
      <c r="AG92">
        <v>641.22</v>
      </c>
      <c r="AH92">
        <v>0</v>
      </c>
      <c r="AI92">
        <v>1</v>
      </c>
      <c r="AJ92">
        <v>1.54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332</v>
      </c>
      <c r="AT92">
        <v>0.11</v>
      </c>
      <c r="AU92" t="s">
        <v>401</v>
      </c>
      <c r="AV92">
        <v>1</v>
      </c>
      <c r="AW92">
        <v>2</v>
      </c>
      <c r="AX92">
        <v>78397686</v>
      </c>
      <c r="AY92">
        <v>1</v>
      </c>
      <c r="AZ92">
        <v>0</v>
      </c>
      <c r="BA92">
        <v>93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4.1052</v>
      </c>
      <c r="BL92">
        <v>70.534199999999998</v>
      </c>
      <c r="BM92">
        <v>0</v>
      </c>
      <c r="BN92">
        <v>0</v>
      </c>
      <c r="BO92">
        <v>0.11</v>
      </c>
      <c r="BP92">
        <v>1</v>
      </c>
      <c r="BQ92">
        <v>0</v>
      </c>
      <c r="BR92">
        <v>5.1315</v>
      </c>
      <c r="BS92">
        <v>88.167749999999998</v>
      </c>
      <c r="BT92">
        <v>0</v>
      </c>
      <c r="BU92">
        <v>0</v>
      </c>
      <c r="BV92">
        <v>0.13750000000000001</v>
      </c>
      <c r="BW92">
        <v>1</v>
      </c>
      <c r="CV92">
        <v>0</v>
      </c>
      <c r="CW92">
        <f>ROUND(Y92*Source!I84*DO92,7)</f>
        <v>2.7499999999999998E-3</v>
      </c>
      <c r="CX92">
        <f>ROUND(Y92*Source!I84,7)</f>
        <v>2.7499999999999998E-3</v>
      </c>
      <c r="CY92">
        <f>AB92</f>
        <v>57.47</v>
      </c>
      <c r="CZ92">
        <f>AF92</f>
        <v>37.32</v>
      </c>
      <c r="DA92">
        <f>AJ92</f>
        <v>1.54</v>
      </c>
      <c r="DB92">
        <f>ROUND((ROUND(AT92*CZ92,2)*ROUND(1.25,7)),6)</f>
        <v>5.1375000000000002</v>
      </c>
      <c r="DC92">
        <f>ROUND((ROUND(AT92*AG92,2)*ROUND(1.25,7)),6)</f>
        <v>88.162499999999994</v>
      </c>
      <c r="DD92" t="s">
        <v>332</v>
      </c>
      <c r="DE92" t="s">
        <v>332</v>
      </c>
      <c r="DF92">
        <f>ROUND(ROUND(AE92,2)*CX92,2)</f>
        <v>0</v>
      </c>
      <c r="DG92">
        <f>ROUND(ROUND(AF92*AJ92,2)*CX92,2)</f>
        <v>0.16</v>
      </c>
      <c r="DH92">
        <f t="shared" si="32"/>
        <v>1.76</v>
      </c>
      <c r="DI92">
        <f t="shared" si="33"/>
        <v>0</v>
      </c>
      <c r="DJ92">
        <f>DG92+DH92</f>
        <v>1.92</v>
      </c>
      <c r="DK92">
        <v>0</v>
      </c>
      <c r="DL92" t="s">
        <v>60</v>
      </c>
      <c r="DM92">
        <v>3</v>
      </c>
      <c r="DN92" t="s">
        <v>31</v>
      </c>
      <c r="DO92">
        <v>1</v>
      </c>
    </row>
    <row r="93" spans="1:119" x14ac:dyDescent="0.25">
      <c r="A93">
        <f>ROW(Source!A84)</f>
        <v>84</v>
      </c>
      <c r="B93">
        <v>78397139</v>
      </c>
      <c r="C93">
        <v>78397683</v>
      </c>
      <c r="D93">
        <v>77498570</v>
      </c>
      <c r="E93">
        <v>1</v>
      </c>
      <c r="F93">
        <v>1</v>
      </c>
      <c r="G93">
        <v>1</v>
      </c>
      <c r="H93">
        <v>3</v>
      </c>
      <c r="I93" t="s">
        <v>259</v>
      </c>
      <c r="J93" t="s">
        <v>691</v>
      </c>
      <c r="K93" t="s">
        <v>260</v>
      </c>
      <c r="L93">
        <v>1346</v>
      </c>
      <c r="N93">
        <v>1009</v>
      </c>
      <c r="O93" t="s">
        <v>111</v>
      </c>
      <c r="P93" t="s">
        <v>111</v>
      </c>
      <c r="Q93">
        <v>1</v>
      </c>
      <c r="W93">
        <v>0</v>
      </c>
      <c r="X93">
        <v>-1494961231</v>
      </c>
      <c r="Y93">
        <f>AT93</f>
        <v>0.74</v>
      </c>
      <c r="AA93">
        <v>123.62</v>
      </c>
      <c r="AB93">
        <v>0</v>
      </c>
      <c r="AC93">
        <v>0</v>
      </c>
      <c r="AD93">
        <v>0</v>
      </c>
      <c r="AE93">
        <v>92.95</v>
      </c>
      <c r="AF93">
        <v>0</v>
      </c>
      <c r="AG93">
        <v>0</v>
      </c>
      <c r="AH93">
        <v>0</v>
      </c>
      <c r="AI93">
        <v>1.33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332</v>
      </c>
      <c r="AT93">
        <v>0.74</v>
      </c>
      <c r="AU93" t="s">
        <v>332</v>
      </c>
      <c r="AV93">
        <v>0</v>
      </c>
      <c r="AW93">
        <v>2</v>
      </c>
      <c r="AX93">
        <v>78397687</v>
      </c>
      <c r="AY93">
        <v>1</v>
      </c>
      <c r="AZ93">
        <v>0</v>
      </c>
      <c r="BA93">
        <v>94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68.783000000000001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68.783000000000001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ROUND(Y93*Source!I84,7)</f>
        <v>1.4800000000000001E-2</v>
      </c>
      <c r="CY93">
        <f>AA93</f>
        <v>123.62</v>
      </c>
      <c r="CZ93">
        <f>AE93</f>
        <v>92.95</v>
      </c>
      <c r="DA93">
        <f>AI93</f>
        <v>1.33</v>
      </c>
      <c r="DB93">
        <f>ROUND(ROUND(AT93*CZ93,2),6)</f>
        <v>68.78</v>
      </c>
      <c r="DC93">
        <f>ROUND(ROUND(AT93*AG93,2),6)</f>
        <v>0</v>
      </c>
      <c r="DD93" t="s">
        <v>332</v>
      </c>
      <c r="DE93" t="s">
        <v>332</v>
      </c>
      <c r="DF93">
        <f>ROUND(ROUND(AE93*AI93,2)*CX93,2)</f>
        <v>1.83</v>
      </c>
      <c r="DG93">
        <f>ROUND(ROUND(AF93,2)*CX93,2)</f>
        <v>0</v>
      </c>
      <c r="DH93">
        <f t="shared" si="32"/>
        <v>0</v>
      </c>
      <c r="DI93">
        <f t="shared" si="33"/>
        <v>0</v>
      </c>
      <c r="DJ93">
        <f>DF93</f>
        <v>1.83</v>
      </c>
      <c r="DK93">
        <v>0</v>
      </c>
      <c r="DL93" t="s">
        <v>332</v>
      </c>
      <c r="DM93">
        <v>0</v>
      </c>
      <c r="DN93" t="s">
        <v>332</v>
      </c>
      <c r="DO93">
        <v>0</v>
      </c>
    </row>
    <row r="94" spans="1:119" x14ac:dyDescent="0.25">
      <c r="A94">
        <f>ROW(Source!A84)</f>
        <v>84</v>
      </c>
      <c r="B94">
        <v>78397139</v>
      </c>
      <c r="C94">
        <v>78397683</v>
      </c>
      <c r="D94">
        <v>77502052</v>
      </c>
      <c r="E94">
        <v>1</v>
      </c>
      <c r="F94">
        <v>1</v>
      </c>
      <c r="G94">
        <v>1</v>
      </c>
      <c r="H94">
        <v>3</v>
      </c>
      <c r="I94" t="s">
        <v>261</v>
      </c>
      <c r="J94" t="s">
        <v>692</v>
      </c>
      <c r="K94" t="s">
        <v>262</v>
      </c>
      <c r="L94">
        <v>1339</v>
      </c>
      <c r="N94">
        <v>1007</v>
      </c>
      <c r="O94" t="s">
        <v>104</v>
      </c>
      <c r="P94" t="s">
        <v>104</v>
      </c>
      <c r="Q94">
        <v>1</v>
      </c>
      <c r="W94">
        <v>0</v>
      </c>
      <c r="X94">
        <v>-155823422</v>
      </c>
      <c r="Y94">
        <f>AT94</f>
        <v>0.06</v>
      </c>
      <c r="AA94">
        <v>4681.46</v>
      </c>
      <c r="AB94">
        <v>0</v>
      </c>
      <c r="AC94">
        <v>0</v>
      </c>
      <c r="AD94">
        <v>0</v>
      </c>
      <c r="AE94">
        <v>3392.36</v>
      </c>
      <c r="AF94">
        <v>0</v>
      </c>
      <c r="AG94">
        <v>0</v>
      </c>
      <c r="AH94">
        <v>0</v>
      </c>
      <c r="AI94">
        <v>1.38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332</v>
      </c>
      <c r="AT94">
        <v>0.06</v>
      </c>
      <c r="AU94" t="s">
        <v>332</v>
      </c>
      <c r="AV94">
        <v>0</v>
      </c>
      <c r="AW94">
        <v>2</v>
      </c>
      <c r="AX94">
        <v>78397688</v>
      </c>
      <c r="AY94">
        <v>1</v>
      </c>
      <c r="AZ94">
        <v>0</v>
      </c>
      <c r="BA94">
        <v>95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203.54159999999999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203.54159999999999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ROUND(Y94*Source!I84,7)</f>
        <v>1.1999999999999999E-3</v>
      </c>
      <c r="CY94">
        <f>AA94</f>
        <v>4681.46</v>
      </c>
      <c r="CZ94">
        <f>AE94</f>
        <v>3392.36</v>
      </c>
      <c r="DA94">
        <f>AI94</f>
        <v>1.38</v>
      </c>
      <c r="DB94">
        <f>ROUND(ROUND(AT94*CZ94,2),6)</f>
        <v>203.54</v>
      </c>
      <c r="DC94">
        <f>ROUND(ROUND(AT94*AG94,2),6)</f>
        <v>0</v>
      </c>
      <c r="DD94" t="s">
        <v>332</v>
      </c>
      <c r="DE94" t="s">
        <v>332</v>
      </c>
      <c r="DF94">
        <f>ROUND(ROUND(AE94*AI94,2)*CX94,2)</f>
        <v>5.62</v>
      </c>
      <c r="DG94">
        <f>ROUND(ROUND(AF94,2)*CX94,2)</f>
        <v>0</v>
      </c>
      <c r="DH94">
        <f t="shared" si="32"/>
        <v>0</v>
      </c>
      <c r="DI94">
        <f t="shared" si="33"/>
        <v>0</v>
      </c>
      <c r="DJ94">
        <f>DF94</f>
        <v>5.62</v>
      </c>
      <c r="DK94">
        <v>0</v>
      </c>
      <c r="DL94" t="s">
        <v>332</v>
      </c>
      <c r="DM94">
        <v>0</v>
      </c>
      <c r="DN94" t="s">
        <v>332</v>
      </c>
      <c r="DO94">
        <v>0</v>
      </c>
    </row>
    <row r="95" spans="1:119" x14ac:dyDescent="0.25">
      <c r="A95">
        <f>ROW(Source!A85)</f>
        <v>85</v>
      </c>
      <c r="B95">
        <v>78397139</v>
      </c>
      <c r="C95">
        <v>78397689</v>
      </c>
      <c r="D95">
        <v>77423768</v>
      </c>
      <c r="E95">
        <v>117</v>
      </c>
      <c r="F95">
        <v>1</v>
      </c>
      <c r="G95">
        <v>1</v>
      </c>
      <c r="H95">
        <v>1</v>
      </c>
      <c r="I95" t="s">
        <v>139</v>
      </c>
      <c r="J95" t="s">
        <v>332</v>
      </c>
      <c r="K95" t="s">
        <v>140</v>
      </c>
      <c r="L95">
        <v>1191</v>
      </c>
      <c r="N95">
        <v>1013</v>
      </c>
      <c r="O95" t="s">
        <v>31</v>
      </c>
      <c r="P95" t="s">
        <v>31</v>
      </c>
      <c r="Q95">
        <v>1</v>
      </c>
      <c r="W95">
        <v>0</v>
      </c>
      <c r="X95">
        <v>32079103</v>
      </c>
      <c r="Y95">
        <f>(AT95*ROUND(1.15,7))</f>
        <v>45.976999999999997</v>
      </c>
      <c r="AA95">
        <v>0</v>
      </c>
      <c r="AB95">
        <v>0</v>
      </c>
      <c r="AC95">
        <v>0</v>
      </c>
      <c r="AD95">
        <v>665.47</v>
      </c>
      <c r="AE95">
        <v>0</v>
      </c>
      <c r="AF95">
        <v>0</v>
      </c>
      <c r="AG95">
        <v>0</v>
      </c>
      <c r="AH95">
        <v>665.47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332</v>
      </c>
      <c r="AT95">
        <v>39.979999999999997</v>
      </c>
      <c r="AU95" t="s">
        <v>402</v>
      </c>
      <c r="AV95">
        <v>1</v>
      </c>
      <c r="AW95">
        <v>2</v>
      </c>
      <c r="AX95">
        <v>78397690</v>
      </c>
      <c r="AY95">
        <v>1</v>
      </c>
      <c r="AZ95">
        <v>0</v>
      </c>
      <c r="BA95">
        <v>96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26605.490600000001</v>
      </c>
      <c r="BN95">
        <v>39.979999999999997</v>
      </c>
      <c r="BO95">
        <v>0</v>
      </c>
      <c r="BP95">
        <v>1</v>
      </c>
      <c r="BQ95">
        <v>0</v>
      </c>
      <c r="BR95">
        <v>0</v>
      </c>
      <c r="BS95">
        <v>0</v>
      </c>
      <c r="BT95">
        <v>30596.314190000001</v>
      </c>
      <c r="BU95">
        <v>45.976999999999997</v>
      </c>
      <c r="BV95">
        <v>0</v>
      </c>
      <c r="BW95">
        <v>1</v>
      </c>
      <c r="CU95">
        <f>ROUND(AT95*Source!I85*AH95*AL95,2)</f>
        <v>532.11</v>
      </c>
      <c r="CV95">
        <f>ROUND(Y95*Source!I85,7)</f>
        <v>0.91954000000000002</v>
      </c>
      <c r="CW95">
        <v>0</v>
      </c>
      <c r="CX95">
        <f>ROUND(Y95*Source!I85,7)</f>
        <v>0.91954000000000002</v>
      </c>
      <c r="CY95">
        <f>AD95</f>
        <v>665.47</v>
      </c>
      <c r="CZ95">
        <f>AH95</f>
        <v>665.47</v>
      </c>
      <c r="DA95">
        <f>AL95</f>
        <v>1</v>
      </c>
      <c r="DB95">
        <f>ROUND((ROUND(AT95*CZ95,2)*ROUND(1.15,7)),6)</f>
        <v>30596.3135</v>
      </c>
      <c r="DC95">
        <f>ROUND((ROUND(AT95*AG95,2)*ROUND(1.15,7)),6)</f>
        <v>0</v>
      </c>
      <c r="DD95" t="s">
        <v>332</v>
      </c>
      <c r="DE95" t="s">
        <v>332</v>
      </c>
      <c r="DF95">
        <f>ROUND(ROUND(AE95,2)*CX95,2)</f>
        <v>0</v>
      </c>
      <c r="DG95">
        <f>ROUND(ROUND(AF95,2)*CX95,2)</f>
        <v>0</v>
      </c>
      <c r="DH95">
        <f t="shared" si="32"/>
        <v>0</v>
      </c>
      <c r="DI95">
        <f t="shared" si="33"/>
        <v>611.92999999999995</v>
      </c>
      <c r="DJ95">
        <f>DI95</f>
        <v>611.92999999999995</v>
      </c>
      <c r="DK95">
        <v>1</v>
      </c>
      <c r="DL95" t="s">
        <v>332</v>
      </c>
      <c r="DM95">
        <v>0</v>
      </c>
      <c r="DN95" t="s">
        <v>332</v>
      </c>
      <c r="DO95">
        <v>0</v>
      </c>
    </row>
    <row r="96" spans="1:119" x14ac:dyDescent="0.25">
      <c r="A96">
        <f>ROW(Source!A85)</f>
        <v>85</v>
      </c>
      <c r="B96">
        <v>78397139</v>
      </c>
      <c r="C96">
        <v>78397689</v>
      </c>
      <c r="D96">
        <v>77423956</v>
      </c>
      <c r="E96">
        <v>117</v>
      </c>
      <c r="F96">
        <v>1</v>
      </c>
      <c r="G96">
        <v>1</v>
      </c>
      <c r="H96">
        <v>1</v>
      </c>
      <c r="I96" t="s">
        <v>647</v>
      </c>
      <c r="J96" t="s">
        <v>332</v>
      </c>
      <c r="K96" t="s">
        <v>648</v>
      </c>
      <c r="L96">
        <v>1191</v>
      </c>
      <c r="N96">
        <v>1013</v>
      </c>
      <c r="O96" t="s">
        <v>31</v>
      </c>
      <c r="P96" t="s">
        <v>31</v>
      </c>
      <c r="Q96">
        <v>1</v>
      </c>
      <c r="W96">
        <v>0</v>
      </c>
      <c r="X96">
        <v>-1417349443</v>
      </c>
      <c r="Y96">
        <f>(AT96*ROUND(1.25,7))</f>
        <v>0.13750000000000001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332</v>
      </c>
      <c r="AT96">
        <v>0.11</v>
      </c>
      <c r="AU96" t="s">
        <v>401</v>
      </c>
      <c r="AV96">
        <v>2</v>
      </c>
      <c r="AW96">
        <v>2</v>
      </c>
      <c r="AX96">
        <v>78397691</v>
      </c>
      <c r="AY96">
        <v>1</v>
      </c>
      <c r="AZ96">
        <v>0</v>
      </c>
      <c r="BA96">
        <v>97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ROUND(Y96*Source!I85,7)</f>
        <v>2.7499999999999998E-3</v>
      </c>
      <c r="CY96">
        <f>AD96</f>
        <v>0</v>
      </c>
      <c r="CZ96">
        <f>AH96</f>
        <v>0</v>
      </c>
      <c r="DA96">
        <f>AL96</f>
        <v>1</v>
      </c>
      <c r="DB96">
        <f>ROUND((ROUND(AT96*CZ96,2)*ROUND(1.25,7)),6)</f>
        <v>0</v>
      </c>
      <c r="DC96">
        <f>ROUND((ROUND(AT96*AG96,2)*ROUND(1.25,7)),6)</f>
        <v>0</v>
      </c>
      <c r="DD96" t="s">
        <v>332</v>
      </c>
      <c r="DE96" t="s">
        <v>332</v>
      </c>
      <c r="DF96">
        <f>ROUND(ROUND(AE96,2)*CX96,2)</f>
        <v>0</v>
      </c>
      <c r="DG96">
        <f>ROUND(ROUND(AF96,2)*CX96,2)</f>
        <v>0</v>
      </c>
      <c r="DH96">
        <f t="shared" si="32"/>
        <v>0</v>
      </c>
      <c r="DI96">
        <f t="shared" si="33"/>
        <v>0</v>
      </c>
      <c r="DJ96">
        <f>DI96</f>
        <v>0</v>
      </c>
      <c r="DK96">
        <v>0</v>
      </c>
      <c r="DL96" t="s">
        <v>332</v>
      </c>
      <c r="DM96">
        <v>0</v>
      </c>
      <c r="DN96" t="s">
        <v>332</v>
      </c>
      <c r="DO96">
        <v>0</v>
      </c>
    </row>
    <row r="97" spans="1:119" x14ac:dyDescent="0.25">
      <c r="A97">
        <f>ROW(Source!A85)</f>
        <v>85</v>
      </c>
      <c r="B97">
        <v>78397139</v>
      </c>
      <c r="C97">
        <v>78397689</v>
      </c>
      <c r="D97">
        <v>77430630</v>
      </c>
      <c r="E97">
        <v>1</v>
      </c>
      <c r="F97">
        <v>1</v>
      </c>
      <c r="G97">
        <v>1</v>
      </c>
      <c r="H97">
        <v>2</v>
      </c>
      <c r="I97" t="s">
        <v>265</v>
      </c>
      <c r="J97" t="s">
        <v>693</v>
      </c>
      <c r="K97" t="s">
        <v>266</v>
      </c>
      <c r="L97">
        <v>1368</v>
      </c>
      <c r="N97">
        <v>1011</v>
      </c>
      <c r="O97" t="s">
        <v>59</v>
      </c>
      <c r="P97" t="s">
        <v>59</v>
      </c>
      <c r="Q97">
        <v>1</v>
      </c>
      <c r="W97">
        <v>0</v>
      </c>
      <c r="X97">
        <v>1402603762</v>
      </c>
      <c r="Y97">
        <f>(AT97*ROUND(1.25,7))</f>
        <v>1.2500000000000001E-2</v>
      </c>
      <c r="AA97">
        <v>0</v>
      </c>
      <c r="AB97">
        <v>47.14</v>
      </c>
      <c r="AC97">
        <v>641.22</v>
      </c>
      <c r="AD97">
        <v>0</v>
      </c>
      <c r="AE97">
        <v>0</v>
      </c>
      <c r="AF97">
        <v>30.61</v>
      </c>
      <c r="AG97">
        <v>641.22</v>
      </c>
      <c r="AH97">
        <v>0</v>
      </c>
      <c r="AI97">
        <v>1</v>
      </c>
      <c r="AJ97">
        <v>1.54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332</v>
      </c>
      <c r="AT97">
        <v>0.01</v>
      </c>
      <c r="AU97" t="s">
        <v>401</v>
      </c>
      <c r="AV97">
        <v>1</v>
      </c>
      <c r="AW97">
        <v>2</v>
      </c>
      <c r="AX97">
        <v>78397692</v>
      </c>
      <c r="AY97">
        <v>1</v>
      </c>
      <c r="AZ97">
        <v>0</v>
      </c>
      <c r="BA97">
        <v>98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0.30609999999999998</v>
      </c>
      <c r="BL97">
        <v>6.4122000000000003</v>
      </c>
      <c r="BM97">
        <v>0</v>
      </c>
      <c r="BN97">
        <v>0</v>
      </c>
      <c r="BO97">
        <v>0.01</v>
      </c>
      <c r="BP97">
        <v>1</v>
      </c>
      <c r="BQ97">
        <v>0</v>
      </c>
      <c r="BR97">
        <v>0.38262499999999999</v>
      </c>
      <c r="BS97">
        <v>8.01525</v>
      </c>
      <c r="BT97">
        <v>0</v>
      </c>
      <c r="BU97">
        <v>0</v>
      </c>
      <c r="BV97">
        <v>1.2500000000000001E-2</v>
      </c>
      <c r="BW97">
        <v>1</v>
      </c>
      <c r="CV97">
        <v>0</v>
      </c>
      <c r="CW97">
        <f>ROUND(Y97*Source!I85*DO97,7)</f>
        <v>2.5000000000000001E-4</v>
      </c>
      <c r="CX97">
        <f>ROUND(Y97*Source!I85,7)</f>
        <v>2.5000000000000001E-4</v>
      </c>
      <c r="CY97">
        <f>AB97</f>
        <v>47.14</v>
      </c>
      <c r="CZ97">
        <f>AF97</f>
        <v>30.61</v>
      </c>
      <c r="DA97">
        <f>AJ97</f>
        <v>1.54</v>
      </c>
      <c r="DB97">
        <f>ROUND((ROUND(AT97*CZ97,2)*ROUND(1.25,7)),6)</f>
        <v>0.38750000000000001</v>
      </c>
      <c r="DC97">
        <f>ROUND((ROUND(AT97*AG97,2)*ROUND(1.25,7)),6)</f>
        <v>8.0124999999999993</v>
      </c>
      <c r="DD97" t="s">
        <v>332</v>
      </c>
      <c r="DE97" t="s">
        <v>332</v>
      </c>
      <c r="DF97">
        <f>ROUND(ROUND(AE97,2)*CX97,2)</f>
        <v>0</v>
      </c>
      <c r="DG97">
        <f>ROUND(ROUND(AF97*AJ97,2)*CX97,2)</f>
        <v>0.01</v>
      </c>
      <c r="DH97">
        <f t="shared" ref="DH97:DH128" si="43">ROUND(ROUND(AG97,2)*CX97,2)</f>
        <v>0.16</v>
      </c>
      <c r="DI97">
        <f t="shared" ref="DI97:DI128" si="44">ROUND(ROUND(AH97,2)*CX97,2)</f>
        <v>0</v>
      </c>
      <c r="DJ97">
        <f>DG97+DH97</f>
        <v>0.17</v>
      </c>
      <c r="DK97">
        <v>0</v>
      </c>
      <c r="DL97" t="s">
        <v>60</v>
      </c>
      <c r="DM97">
        <v>3</v>
      </c>
      <c r="DN97" t="s">
        <v>31</v>
      </c>
      <c r="DO97">
        <v>1</v>
      </c>
    </row>
    <row r="98" spans="1:119" x14ac:dyDescent="0.25">
      <c r="A98">
        <f>ROW(Source!A85)</f>
        <v>85</v>
      </c>
      <c r="B98">
        <v>78397139</v>
      </c>
      <c r="C98">
        <v>78397689</v>
      </c>
      <c r="D98">
        <v>77431339</v>
      </c>
      <c r="E98">
        <v>1</v>
      </c>
      <c r="F98">
        <v>1</v>
      </c>
      <c r="G98">
        <v>1</v>
      </c>
      <c r="H98">
        <v>2</v>
      </c>
      <c r="I98" t="s">
        <v>62</v>
      </c>
      <c r="J98" t="s">
        <v>650</v>
      </c>
      <c r="K98" t="s">
        <v>63</v>
      </c>
      <c r="L98">
        <v>1368</v>
      </c>
      <c r="N98">
        <v>1011</v>
      </c>
      <c r="O98" t="s">
        <v>59</v>
      </c>
      <c r="P98" t="s">
        <v>59</v>
      </c>
      <c r="Q98">
        <v>1</v>
      </c>
      <c r="W98">
        <v>0</v>
      </c>
      <c r="X98">
        <v>-849950259</v>
      </c>
      <c r="Y98">
        <f>(AT98*ROUND(1.25,7))</f>
        <v>0.125</v>
      </c>
      <c r="AA98">
        <v>0</v>
      </c>
      <c r="AB98">
        <v>643.29</v>
      </c>
      <c r="AC98">
        <v>722.05</v>
      </c>
      <c r="AD98">
        <v>0</v>
      </c>
      <c r="AE98">
        <v>0</v>
      </c>
      <c r="AF98">
        <v>643.29</v>
      </c>
      <c r="AG98">
        <v>722.05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-2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332</v>
      </c>
      <c r="AT98">
        <v>0.1</v>
      </c>
      <c r="AU98" t="s">
        <v>401</v>
      </c>
      <c r="AV98">
        <v>1</v>
      </c>
      <c r="AW98">
        <v>2</v>
      </c>
      <c r="AX98">
        <v>78397693</v>
      </c>
      <c r="AY98">
        <v>1</v>
      </c>
      <c r="AZ98">
        <v>0</v>
      </c>
      <c r="BA98">
        <v>99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64.328999999999994</v>
      </c>
      <c r="BL98">
        <v>72.204999999999998</v>
      </c>
      <c r="BM98">
        <v>0</v>
      </c>
      <c r="BN98">
        <v>0</v>
      </c>
      <c r="BO98">
        <v>0.1</v>
      </c>
      <c r="BP98">
        <v>1</v>
      </c>
      <c r="BQ98">
        <v>0</v>
      </c>
      <c r="BR98">
        <v>80.411249999999995</v>
      </c>
      <c r="BS98">
        <v>90.256249999999994</v>
      </c>
      <c r="BT98">
        <v>0</v>
      </c>
      <c r="BU98">
        <v>0</v>
      </c>
      <c r="BV98">
        <v>0.125</v>
      </c>
      <c r="BW98">
        <v>1</v>
      </c>
      <c r="CV98">
        <v>0</v>
      </c>
      <c r="CW98">
        <f>ROUND(Y98*Source!I85*DO98,7)</f>
        <v>2.5000000000000001E-3</v>
      </c>
      <c r="CX98">
        <f>ROUND(Y98*Source!I85,7)</f>
        <v>2.5000000000000001E-3</v>
      </c>
      <c r="CY98">
        <f>AB98</f>
        <v>643.29</v>
      </c>
      <c r="CZ98">
        <f>AF98</f>
        <v>643.29</v>
      </c>
      <c r="DA98">
        <f>AJ98</f>
        <v>1</v>
      </c>
      <c r="DB98">
        <f>ROUND((ROUND(AT98*CZ98,2)*ROUND(1.25,7)),6)</f>
        <v>80.412499999999994</v>
      </c>
      <c r="DC98">
        <f>ROUND((ROUND(AT98*AG98,2)*ROUND(1.25,7)),6)</f>
        <v>90.262500000000003</v>
      </c>
      <c r="DD98" t="s">
        <v>332</v>
      </c>
      <c r="DE98" t="s">
        <v>332</v>
      </c>
      <c r="DF98">
        <f>ROUND(ROUND(AE98,2)*CX98,2)</f>
        <v>0</v>
      </c>
      <c r="DG98">
        <f t="shared" ref="DG98:DG113" si="45">ROUND(ROUND(AF98,2)*CX98,2)</f>
        <v>1.61</v>
      </c>
      <c r="DH98">
        <f t="shared" si="43"/>
        <v>1.81</v>
      </c>
      <c r="DI98">
        <f t="shared" si="44"/>
        <v>0</v>
      </c>
      <c r="DJ98">
        <f>DG98+DH98</f>
        <v>3.42</v>
      </c>
      <c r="DK98">
        <v>1</v>
      </c>
      <c r="DL98" t="s">
        <v>64</v>
      </c>
      <c r="DM98">
        <v>4</v>
      </c>
      <c r="DN98" t="s">
        <v>31</v>
      </c>
      <c r="DO98">
        <v>1</v>
      </c>
    </row>
    <row r="99" spans="1:119" x14ac:dyDescent="0.25">
      <c r="A99">
        <f>ROW(Source!A85)</f>
        <v>85</v>
      </c>
      <c r="B99">
        <v>78397139</v>
      </c>
      <c r="C99">
        <v>78397689</v>
      </c>
      <c r="D99">
        <v>77500388</v>
      </c>
      <c r="E99">
        <v>1</v>
      </c>
      <c r="F99">
        <v>1</v>
      </c>
      <c r="G99">
        <v>1</v>
      </c>
      <c r="H99">
        <v>3</v>
      </c>
      <c r="I99" t="s">
        <v>267</v>
      </c>
      <c r="J99" t="s">
        <v>694</v>
      </c>
      <c r="K99" t="s">
        <v>268</v>
      </c>
      <c r="L99">
        <v>1327</v>
      </c>
      <c r="N99">
        <v>1005</v>
      </c>
      <c r="O99" t="s">
        <v>269</v>
      </c>
      <c r="P99" t="s">
        <v>269</v>
      </c>
      <c r="Q99">
        <v>1</v>
      </c>
      <c r="W99">
        <v>0</v>
      </c>
      <c r="X99">
        <v>10451617</v>
      </c>
      <c r="Y99">
        <f t="shared" ref="Y99:Y124" si="46">AT99</f>
        <v>0.84</v>
      </c>
      <c r="AA99">
        <v>706.82</v>
      </c>
      <c r="AB99">
        <v>0</v>
      </c>
      <c r="AC99">
        <v>0</v>
      </c>
      <c r="AD99">
        <v>0</v>
      </c>
      <c r="AE99">
        <v>531.44000000000005</v>
      </c>
      <c r="AF99">
        <v>0</v>
      </c>
      <c r="AG99">
        <v>0</v>
      </c>
      <c r="AH99">
        <v>0</v>
      </c>
      <c r="AI99">
        <v>1.33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332</v>
      </c>
      <c r="AT99">
        <v>0.84</v>
      </c>
      <c r="AU99" t="s">
        <v>332</v>
      </c>
      <c r="AV99">
        <v>0</v>
      </c>
      <c r="AW99">
        <v>2</v>
      </c>
      <c r="AX99">
        <v>78397694</v>
      </c>
      <c r="AY99">
        <v>1</v>
      </c>
      <c r="AZ99">
        <v>0</v>
      </c>
      <c r="BA99">
        <v>100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446.40960000000001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446.40960000000001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ROUND(Y99*Source!I85,7)</f>
        <v>1.6799999999999999E-2</v>
      </c>
      <c r="CY99">
        <f>AA99</f>
        <v>706.82</v>
      </c>
      <c r="CZ99">
        <f>AE99</f>
        <v>531.44000000000005</v>
      </c>
      <c r="DA99">
        <f>AI99</f>
        <v>1.33</v>
      </c>
      <c r="DB99">
        <f t="shared" ref="DB99:DB124" si="47">ROUND(ROUND(AT99*CZ99,2),6)</f>
        <v>446.41</v>
      </c>
      <c r="DC99">
        <f t="shared" ref="DC99:DC124" si="48">ROUND(ROUND(AT99*AG99,2),6)</f>
        <v>0</v>
      </c>
      <c r="DD99" t="s">
        <v>332</v>
      </c>
      <c r="DE99" t="s">
        <v>332</v>
      </c>
      <c r="DF99">
        <f>ROUND(ROUND(AE99*AI99,2)*CX99,2)</f>
        <v>11.87</v>
      </c>
      <c r="DG99">
        <f t="shared" si="45"/>
        <v>0</v>
      </c>
      <c r="DH99">
        <f t="shared" si="43"/>
        <v>0</v>
      </c>
      <c r="DI99">
        <f t="shared" si="44"/>
        <v>0</v>
      </c>
      <c r="DJ99">
        <f>DF99</f>
        <v>11.87</v>
      </c>
      <c r="DK99">
        <v>0</v>
      </c>
      <c r="DL99" t="s">
        <v>332</v>
      </c>
      <c r="DM99">
        <v>0</v>
      </c>
      <c r="DN99" t="s">
        <v>332</v>
      </c>
      <c r="DO99">
        <v>0</v>
      </c>
    </row>
    <row r="100" spans="1:119" x14ac:dyDescent="0.25">
      <c r="A100">
        <f>ROW(Source!A85)</f>
        <v>85</v>
      </c>
      <c r="B100">
        <v>78397139</v>
      </c>
      <c r="C100">
        <v>78397689</v>
      </c>
      <c r="D100">
        <v>77500752</v>
      </c>
      <c r="E100">
        <v>1</v>
      </c>
      <c r="F100">
        <v>1</v>
      </c>
      <c r="G100">
        <v>1</v>
      </c>
      <c r="H100">
        <v>3</v>
      </c>
      <c r="I100" t="s">
        <v>141</v>
      </c>
      <c r="J100" t="s">
        <v>664</v>
      </c>
      <c r="K100" t="s">
        <v>142</v>
      </c>
      <c r="L100">
        <v>1346</v>
      </c>
      <c r="N100">
        <v>1009</v>
      </c>
      <c r="O100" t="s">
        <v>111</v>
      </c>
      <c r="P100" t="s">
        <v>111</v>
      </c>
      <c r="Q100">
        <v>1</v>
      </c>
      <c r="W100">
        <v>0</v>
      </c>
      <c r="X100">
        <v>-373327139</v>
      </c>
      <c r="Y100">
        <f t="shared" si="46"/>
        <v>0.31</v>
      </c>
      <c r="AA100">
        <v>86.41</v>
      </c>
      <c r="AB100">
        <v>0</v>
      </c>
      <c r="AC100">
        <v>0</v>
      </c>
      <c r="AD100">
        <v>0</v>
      </c>
      <c r="AE100">
        <v>56.11</v>
      </c>
      <c r="AF100">
        <v>0</v>
      </c>
      <c r="AG100">
        <v>0</v>
      </c>
      <c r="AH100">
        <v>0</v>
      </c>
      <c r="AI100">
        <v>1.54</v>
      </c>
      <c r="AJ100">
        <v>1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332</v>
      </c>
      <c r="AT100">
        <v>0.31</v>
      </c>
      <c r="AU100" t="s">
        <v>332</v>
      </c>
      <c r="AV100">
        <v>0</v>
      </c>
      <c r="AW100">
        <v>2</v>
      </c>
      <c r="AX100">
        <v>78397695</v>
      </c>
      <c r="AY100">
        <v>1</v>
      </c>
      <c r="AZ100">
        <v>0</v>
      </c>
      <c r="BA100">
        <v>101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17.394100000000002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17.394100000000002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ROUND(Y100*Source!I85,7)</f>
        <v>6.1999999999999998E-3</v>
      </c>
      <c r="CY100">
        <f>AA100</f>
        <v>86.41</v>
      </c>
      <c r="CZ100">
        <f>AE100</f>
        <v>56.11</v>
      </c>
      <c r="DA100">
        <f>AI100</f>
        <v>1.54</v>
      </c>
      <c r="DB100">
        <f t="shared" si="47"/>
        <v>17.39</v>
      </c>
      <c r="DC100">
        <f t="shared" si="48"/>
        <v>0</v>
      </c>
      <c r="DD100" t="s">
        <v>332</v>
      </c>
      <c r="DE100" t="s">
        <v>332</v>
      </c>
      <c r="DF100">
        <f>ROUND(ROUND(AE100*AI100,2)*CX100,2)</f>
        <v>0.54</v>
      </c>
      <c r="DG100">
        <f t="shared" si="45"/>
        <v>0</v>
      </c>
      <c r="DH100">
        <f t="shared" si="43"/>
        <v>0</v>
      </c>
      <c r="DI100">
        <f t="shared" si="44"/>
        <v>0</v>
      </c>
      <c r="DJ100">
        <f>DF100</f>
        <v>0.54</v>
      </c>
      <c r="DK100">
        <v>0</v>
      </c>
      <c r="DL100" t="s">
        <v>332</v>
      </c>
      <c r="DM100">
        <v>0</v>
      </c>
      <c r="DN100" t="s">
        <v>332</v>
      </c>
      <c r="DO100">
        <v>0</v>
      </c>
    </row>
    <row r="101" spans="1:119" x14ac:dyDescent="0.25">
      <c r="A101">
        <f>ROW(Source!A85)</f>
        <v>85</v>
      </c>
      <c r="B101">
        <v>78397139</v>
      </c>
      <c r="C101">
        <v>78397689</v>
      </c>
      <c r="D101">
        <v>77516657</v>
      </c>
      <c r="E101">
        <v>1</v>
      </c>
      <c r="F101">
        <v>1</v>
      </c>
      <c r="G101">
        <v>1</v>
      </c>
      <c r="H101">
        <v>3</v>
      </c>
      <c r="I101" t="s">
        <v>508</v>
      </c>
      <c r="J101" t="s">
        <v>510</v>
      </c>
      <c r="K101" t="s">
        <v>509</v>
      </c>
      <c r="L101">
        <v>1348</v>
      </c>
      <c r="N101">
        <v>1009</v>
      </c>
      <c r="O101" t="s">
        <v>87</v>
      </c>
      <c r="P101" t="s">
        <v>87</v>
      </c>
      <c r="Q101">
        <v>1000</v>
      </c>
      <c r="W101">
        <v>0</v>
      </c>
      <c r="X101">
        <v>1162606327</v>
      </c>
      <c r="Y101">
        <f t="shared" si="46"/>
        <v>3.3000000000000002E-2</v>
      </c>
      <c r="AA101">
        <v>113466.03</v>
      </c>
      <c r="AB101">
        <v>0</v>
      </c>
      <c r="AC101">
        <v>0</v>
      </c>
      <c r="AD101">
        <v>0</v>
      </c>
      <c r="AE101">
        <v>64105.1</v>
      </c>
      <c r="AF101">
        <v>0</v>
      </c>
      <c r="AG101">
        <v>0</v>
      </c>
      <c r="AH101">
        <v>0</v>
      </c>
      <c r="AI101">
        <v>1.77</v>
      </c>
      <c r="AJ101">
        <v>1</v>
      </c>
      <c r="AK101">
        <v>1</v>
      </c>
      <c r="AL101">
        <v>1</v>
      </c>
      <c r="AM101">
        <v>0</v>
      </c>
      <c r="AN101">
        <v>0</v>
      </c>
      <c r="AO101">
        <v>0</v>
      </c>
      <c r="AP101">
        <v>1</v>
      </c>
      <c r="AQ101">
        <v>0</v>
      </c>
      <c r="AR101">
        <v>0</v>
      </c>
      <c r="AS101" t="s">
        <v>332</v>
      </c>
      <c r="AT101">
        <v>3.3000000000000002E-2</v>
      </c>
      <c r="AU101" t="s">
        <v>332</v>
      </c>
      <c r="AV101">
        <v>0</v>
      </c>
      <c r="AW101">
        <v>1</v>
      </c>
      <c r="AX101">
        <v>-1</v>
      </c>
      <c r="AY101">
        <v>0</v>
      </c>
      <c r="AZ101">
        <v>0</v>
      </c>
      <c r="BA101" t="s">
        <v>332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ROUND(Y101*Source!I85,7)</f>
        <v>6.6E-4</v>
      </c>
      <c r="CY101">
        <f>AA101</f>
        <v>113466.03</v>
      </c>
      <c r="CZ101">
        <f>AE101</f>
        <v>64105.1</v>
      </c>
      <c r="DA101">
        <f>AI101</f>
        <v>1.77</v>
      </c>
      <c r="DB101">
        <f t="shared" si="47"/>
        <v>2115.4699999999998</v>
      </c>
      <c r="DC101">
        <f t="shared" si="48"/>
        <v>0</v>
      </c>
      <c r="DD101" t="s">
        <v>332</v>
      </c>
      <c r="DE101" t="s">
        <v>332</v>
      </c>
      <c r="DF101">
        <f>ROUND(ROUND(AE101*AI101,2)*CX101,2)</f>
        <v>74.89</v>
      </c>
      <c r="DG101">
        <f t="shared" si="45"/>
        <v>0</v>
      </c>
      <c r="DH101">
        <f t="shared" si="43"/>
        <v>0</v>
      </c>
      <c r="DI101">
        <f t="shared" si="44"/>
        <v>0</v>
      </c>
      <c r="DJ101">
        <f>DF101</f>
        <v>74.89</v>
      </c>
      <c r="DK101">
        <v>0</v>
      </c>
      <c r="DL101" t="s">
        <v>332</v>
      </c>
      <c r="DM101">
        <v>0</v>
      </c>
      <c r="DN101" t="s">
        <v>332</v>
      </c>
      <c r="DO101">
        <v>0</v>
      </c>
    </row>
    <row r="102" spans="1:119" x14ac:dyDescent="0.25">
      <c r="A102">
        <f>ROW(Source!A85)</f>
        <v>85</v>
      </c>
      <c r="B102">
        <v>78397139</v>
      </c>
      <c r="C102">
        <v>78397689</v>
      </c>
      <c r="D102">
        <v>77516687</v>
      </c>
      <c r="E102">
        <v>1</v>
      </c>
      <c r="F102">
        <v>1</v>
      </c>
      <c r="G102">
        <v>1</v>
      </c>
      <c r="H102">
        <v>3</v>
      </c>
      <c r="I102" t="s">
        <v>512</v>
      </c>
      <c r="J102" t="s">
        <v>514</v>
      </c>
      <c r="K102" t="s">
        <v>513</v>
      </c>
      <c r="L102">
        <v>1348</v>
      </c>
      <c r="N102">
        <v>1009</v>
      </c>
      <c r="O102" t="s">
        <v>87</v>
      </c>
      <c r="P102" t="s">
        <v>87</v>
      </c>
      <c r="Q102">
        <v>1000</v>
      </c>
      <c r="W102">
        <v>0</v>
      </c>
      <c r="X102">
        <v>-632305527</v>
      </c>
      <c r="Y102">
        <f t="shared" si="46"/>
        <v>2.1999999999999999E-2</v>
      </c>
      <c r="AA102">
        <v>223589.81</v>
      </c>
      <c r="AB102">
        <v>0</v>
      </c>
      <c r="AC102">
        <v>0</v>
      </c>
      <c r="AD102">
        <v>0</v>
      </c>
      <c r="AE102">
        <v>178871.85</v>
      </c>
      <c r="AF102">
        <v>0</v>
      </c>
      <c r="AG102">
        <v>0</v>
      </c>
      <c r="AH102">
        <v>0</v>
      </c>
      <c r="AI102">
        <v>1.25</v>
      </c>
      <c r="AJ102">
        <v>1</v>
      </c>
      <c r="AK102">
        <v>1</v>
      </c>
      <c r="AL102">
        <v>1</v>
      </c>
      <c r="AM102">
        <v>0</v>
      </c>
      <c r="AN102">
        <v>0</v>
      </c>
      <c r="AO102">
        <v>0</v>
      </c>
      <c r="AP102">
        <v>1</v>
      </c>
      <c r="AQ102">
        <v>0</v>
      </c>
      <c r="AR102">
        <v>0</v>
      </c>
      <c r="AS102" t="s">
        <v>332</v>
      </c>
      <c r="AT102">
        <v>2.1999999999999999E-2</v>
      </c>
      <c r="AU102" t="s">
        <v>332</v>
      </c>
      <c r="AV102">
        <v>0</v>
      </c>
      <c r="AW102">
        <v>1</v>
      </c>
      <c r="AX102">
        <v>-1</v>
      </c>
      <c r="AY102">
        <v>0</v>
      </c>
      <c r="AZ102">
        <v>0</v>
      </c>
      <c r="BA102" t="s">
        <v>332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ROUND(Y102*Source!I85,7)</f>
        <v>4.4000000000000002E-4</v>
      </c>
      <c r="CY102">
        <f>AA102</f>
        <v>223589.81</v>
      </c>
      <c r="CZ102">
        <f>AE102</f>
        <v>178871.85</v>
      </c>
      <c r="DA102">
        <f>AI102</f>
        <v>1.25</v>
      </c>
      <c r="DB102">
        <f t="shared" si="47"/>
        <v>3935.18</v>
      </c>
      <c r="DC102">
        <f t="shared" si="48"/>
        <v>0</v>
      </c>
      <c r="DD102" t="s">
        <v>332</v>
      </c>
      <c r="DE102" t="s">
        <v>332</v>
      </c>
      <c r="DF102">
        <f>ROUND(ROUND(AE102*AI102,2)*CX102,2)</f>
        <v>98.38</v>
      </c>
      <c r="DG102">
        <f t="shared" si="45"/>
        <v>0</v>
      </c>
      <c r="DH102">
        <f t="shared" si="43"/>
        <v>0</v>
      </c>
      <c r="DI102">
        <f t="shared" si="44"/>
        <v>0</v>
      </c>
      <c r="DJ102">
        <f>DF102</f>
        <v>98.38</v>
      </c>
      <c r="DK102">
        <v>0</v>
      </c>
      <c r="DL102" t="s">
        <v>332</v>
      </c>
      <c r="DM102">
        <v>0</v>
      </c>
      <c r="DN102" t="s">
        <v>332</v>
      </c>
      <c r="DO102">
        <v>0</v>
      </c>
    </row>
    <row r="103" spans="1:119" x14ac:dyDescent="0.25">
      <c r="A103">
        <f>ROW(Source!A85)</f>
        <v>85</v>
      </c>
      <c r="B103">
        <v>78397139</v>
      </c>
      <c r="C103">
        <v>78397689</v>
      </c>
      <c r="D103">
        <v>77517225</v>
      </c>
      <c r="E103">
        <v>1</v>
      </c>
      <c r="F103">
        <v>1</v>
      </c>
      <c r="G103">
        <v>1</v>
      </c>
      <c r="H103">
        <v>3</v>
      </c>
      <c r="I103" t="s">
        <v>270</v>
      </c>
      <c r="J103" t="s">
        <v>695</v>
      </c>
      <c r="K103" t="s">
        <v>271</v>
      </c>
      <c r="L103">
        <v>1348</v>
      </c>
      <c r="N103">
        <v>1009</v>
      </c>
      <c r="O103" t="s">
        <v>87</v>
      </c>
      <c r="P103" t="s">
        <v>87</v>
      </c>
      <c r="Q103">
        <v>1000</v>
      </c>
      <c r="W103">
        <v>0</v>
      </c>
      <c r="X103">
        <v>802999844</v>
      </c>
      <c r="Y103">
        <f t="shared" si="46"/>
        <v>5.4999999999999997E-3</v>
      </c>
      <c r="AA103">
        <v>77073.88</v>
      </c>
      <c r="AB103">
        <v>0</v>
      </c>
      <c r="AC103">
        <v>0</v>
      </c>
      <c r="AD103">
        <v>0</v>
      </c>
      <c r="AE103">
        <v>52790.33</v>
      </c>
      <c r="AF103">
        <v>0</v>
      </c>
      <c r="AG103">
        <v>0</v>
      </c>
      <c r="AH103">
        <v>0</v>
      </c>
      <c r="AI103">
        <v>1.46</v>
      </c>
      <c r="AJ103">
        <v>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332</v>
      </c>
      <c r="AT103">
        <v>5.4999999999999997E-3</v>
      </c>
      <c r="AU103" t="s">
        <v>332</v>
      </c>
      <c r="AV103">
        <v>0</v>
      </c>
      <c r="AW103">
        <v>2</v>
      </c>
      <c r="AX103">
        <v>78397698</v>
      </c>
      <c r="AY103">
        <v>1</v>
      </c>
      <c r="AZ103">
        <v>0</v>
      </c>
      <c r="BA103">
        <v>104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290.34681499999999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290.34681499999999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v>0</v>
      </c>
      <c r="CX103">
        <f>ROUND(Y103*Source!I85,7)</f>
        <v>1.1E-4</v>
      </c>
      <c r="CY103">
        <f>AA103</f>
        <v>77073.88</v>
      </c>
      <c r="CZ103">
        <f>AE103</f>
        <v>52790.33</v>
      </c>
      <c r="DA103">
        <f>AI103</f>
        <v>1.46</v>
      </c>
      <c r="DB103">
        <f t="shared" si="47"/>
        <v>290.35000000000002</v>
      </c>
      <c r="DC103">
        <f t="shared" si="48"/>
        <v>0</v>
      </c>
      <c r="DD103" t="s">
        <v>332</v>
      </c>
      <c r="DE103" t="s">
        <v>332</v>
      </c>
      <c r="DF103">
        <f>ROUND(ROUND(AE103*AI103,2)*CX103,2)</f>
        <v>8.48</v>
      </c>
      <c r="DG103">
        <f t="shared" si="45"/>
        <v>0</v>
      </c>
      <c r="DH103">
        <f t="shared" si="43"/>
        <v>0</v>
      </c>
      <c r="DI103">
        <f t="shared" si="44"/>
        <v>0</v>
      </c>
      <c r="DJ103">
        <f>DF103</f>
        <v>8.48</v>
      </c>
      <c r="DK103">
        <v>0</v>
      </c>
      <c r="DL103" t="s">
        <v>332</v>
      </c>
      <c r="DM103">
        <v>0</v>
      </c>
      <c r="DN103" t="s">
        <v>332</v>
      </c>
      <c r="DO103">
        <v>0</v>
      </c>
    </row>
    <row r="104" spans="1:119" x14ac:dyDescent="0.25">
      <c r="A104">
        <f>ROW(Source!A88)</f>
        <v>88</v>
      </c>
      <c r="B104">
        <v>78397139</v>
      </c>
      <c r="C104">
        <v>78397705</v>
      </c>
      <c r="D104">
        <v>77423772</v>
      </c>
      <c r="E104">
        <v>117</v>
      </c>
      <c r="F104">
        <v>1</v>
      </c>
      <c r="G104">
        <v>1</v>
      </c>
      <c r="H104">
        <v>1</v>
      </c>
      <c r="I104" t="s">
        <v>53</v>
      </c>
      <c r="J104" t="s">
        <v>332</v>
      </c>
      <c r="K104" t="s">
        <v>54</v>
      </c>
      <c r="L104">
        <v>1191</v>
      </c>
      <c r="N104">
        <v>1013</v>
      </c>
      <c r="O104" t="s">
        <v>31</v>
      </c>
      <c r="P104" t="s">
        <v>31</v>
      </c>
      <c r="Q104">
        <v>1</v>
      </c>
      <c r="W104">
        <v>0</v>
      </c>
      <c r="X104">
        <v>-715079457</v>
      </c>
      <c r="Y104">
        <f t="shared" si="46"/>
        <v>308</v>
      </c>
      <c r="AA104">
        <v>0</v>
      </c>
      <c r="AB104">
        <v>0</v>
      </c>
      <c r="AC104">
        <v>0</v>
      </c>
      <c r="AD104">
        <v>681.63</v>
      </c>
      <c r="AE104">
        <v>0</v>
      </c>
      <c r="AF104">
        <v>0</v>
      </c>
      <c r="AG104">
        <v>0</v>
      </c>
      <c r="AH104">
        <v>681.63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0</v>
      </c>
      <c r="AQ104">
        <v>1</v>
      </c>
      <c r="AR104">
        <v>0</v>
      </c>
      <c r="AS104" t="s">
        <v>332</v>
      </c>
      <c r="AT104">
        <v>308</v>
      </c>
      <c r="AU104" t="s">
        <v>332</v>
      </c>
      <c r="AV104">
        <v>1</v>
      </c>
      <c r="AW104">
        <v>2</v>
      </c>
      <c r="AX104">
        <v>78397706</v>
      </c>
      <c r="AY104">
        <v>1</v>
      </c>
      <c r="AZ104">
        <v>0</v>
      </c>
      <c r="BA104">
        <v>105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209942.04</v>
      </c>
      <c r="BN104">
        <v>308</v>
      </c>
      <c r="BO104">
        <v>0</v>
      </c>
      <c r="BP104">
        <v>1</v>
      </c>
      <c r="BQ104">
        <v>0</v>
      </c>
      <c r="BR104">
        <v>0</v>
      </c>
      <c r="BS104">
        <v>0</v>
      </c>
      <c r="BT104">
        <v>209942.04</v>
      </c>
      <c r="BU104">
        <v>308</v>
      </c>
      <c r="BV104">
        <v>0</v>
      </c>
      <c r="BW104">
        <v>1</v>
      </c>
      <c r="CU104">
        <f>ROUND(AT104*Source!I88*AH104*AL104,2)</f>
        <v>10497.1</v>
      </c>
      <c r="CV104">
        <f>ROUND(Y104*Source!I88,7)</f>
        <v>15.4</v>
      </c>
      <c r="CW104">
        <v>0</v>
      </c>
      <c r="CX104">
        <f>ROUND(Y104*Source!I88,7)</f>
        <v>15.4</v>
      </c>
      <c r="CY104">
        <f>AD104</f>
        <v>681.63</v>
      </c>
      <c r="CZ104">
        <f>AH104</f>
        <v>681.63</v>
      </c>
      <c r="DA104">
        <f>AL104</f>
        <v>1</v>
      </c>
      <c r="DB104">
        <f t="shared" si="47"/>
        <v>209942.04</v>
      </c>
      <c r="DC104">
        <f t="shared" si="48"/>
        <v>0</v>
      </c>
      <c r="DD104" t="s">
        <v>332</v>
      </c>
      <c r="DE104" t="s">
        <v>332</v>
      </c>
      <c r="DF104">
        <f>ROUND(ROUND(AE104,2)*CX104,2)</f>
        <v>0</v>
      </c>
      <c r="DG104">
        <f t="shared" si="45"/>
        <v>0</v>
      </c>
      <c r="DH104">
        <f t="shared" si="43"/>
        <v>0</v>
      </c>
      <c r="DI104">
        <f t="shared" si="44"/>
        <v>10497.1</v>
      </c>
      <c r="DJ104">
        <f>DI104</f>
        <v>10497.1</v>
      </c>
      <c r="DK104">
        <v>1</v>
      </c>
      <c r="DL104" t="s">
        <v>332</v>
      </c>
      <c r="DM104">
        <v>0</v>
      </c>
      <c r="DN104" t="s">
        <v>332</v>
      </c>
      <c r="DO104">
        <v>0</v>
      </c>
    </row>
    <row r="105" spans="1:119" x14ac:dyDescent="0.25">
      <c r="A105">
        <f>ROW(Source!A88)</f>
        <v>88</v>
      </c>
      <c r="B105">
        <v>78397139</v>
      </c>
      <c r="C105">
        <v>78397705</v>
      </c>
      <c r="D105">
        <v>77423956</v>
      </c>
      <c r="E105">
        <v>117</v>
      </c>
      <c r="F105">
        <v>1</v>
      </c>
      <c r="G105">
        <v>1</v>
      </c>
      <c r="H105">
        <v>1</v>
      </c>
      <c r="I105" t="s">
        <v>647</v>
      </c>
      <c r="J105" t="s">
        <v>332</v>
      </c>
      <c r="K105" t="s">
        <v>648</v>
      </c>
      <c r="L105">
        <v>1191</v>
      </c>
      <c r="N105">
        <v>1013</v>
      </c>
      <c r="O105" t="s">
        <v>31</v>
      </c>
      <c r="P105" t="s">
        <v>31</v>
      </c>
      <c r="Q105">
        <v>1</v>
      </c>
      <c r="W105">
        <v>0</v>
      </c>
      <c r="X105">
        <v>-1417349443</v>
      </c>
      <c r="Y105">
        <f t="shared" si="46"/>
        <v>1.6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0</v>
      </c>
      <c r="AQ105">
        <v>1</v>
      </c>
      <c r="AR105">
        <v>0</v>
      </c>
      <c r="AS105" t="s">
        <v>332</v>
      </c>
      <c r="AT105">
        <v>1.6</v>
      </c>
      <c r="AU105" t="s">
        <v>332</v>
      </c>
      <c r="AV105">
        <v>2</v>
      </c>
      <c r="AW105">
        <v>2</v>
      </c>
      <c r="AX105">
        <v>78397707</v>
      </c>
      <c r="AY105">
        <v>1</v>
      </c>
      <c r="AZ105">
        <v>0</v>
      </c>
      <c r="BA105">
        <v>106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ROUND(Y105*Source!I88,7)</f>
        <v>0.08</v>
      </c>
      <c r="CY105">
        <f>AD105</f>
        <v>0</v>
      </c>
      <c r="CZ105">
        <f>AH105</f>
        <v>0</v>
      </c>
      <c r="DA105">
        <f>AL105</f>
        <v>1</v>
      </c>
      <c r="DB105">
        <f t="shared" si="47"/>
        <v>0</v>
      </c>
      <c r="DC105">
        <f t="shared" si="48"/>
        <v>0</v>
      </c>
      <c r="DD105" t="s">
        <v>332</v>
      </c>
      <c r="DE105" t="s">
        <v>332</v>
      </c>
      <c r="DF105">
        <f>ROUND(ROUND(AE105,2)*CX105,2)</f>
        <v>0</v>
      </c>
      <c r="DG105">
        <f t="shared" si="45"/>
        <v>0</v>
      </c>
      <c r="DH105">
        <f t="shared" si="43"/>
        <v>0</v>
      </c>
      <c r="DI105">
        <f t="shared" si="44"/>
        <v>0</v>
      </c>
      <c r="DJ105">
        <f>DI105</f>
        <v>0</v>
      </c>
      <c r="DK105">
        <v>0</v>
      </c>
      <c r="DL105" t="s">
        <v>332</v>
      </c>
      <c r="DM105">
        <v>0</v>
      </c>
      <c r="DN105" t="s">
        <v>332</v>
      </c>
      <c r="DO105">
        <v>0</v>
      </c>
    </row>
    <row r="106" spans="1:119" x14ac:dyDescent="0.25">
      <c r="A106">
        <f>ROW(Source!A88)</f>
        <v>88</v>
      </c>
      <c r="B106">
        <v>78397139</v>
      </c>
      <c r="C106">
        <v>78397705</v>
      </c>
      <c r="D106">
        <v>77431339</v>
      </c>
      <c r="E106">
        <v>1</v>
      </c>
      <c r="F106">
        <v>1</v>
      </c>
      <c r="G106">
        <v>1</v>
      </c>
      <c r="H106">
        <v>2</v>
      </c>
      <c r="I106" t="s">
        <v>62</v>
      </c>
      <c r="J106" t="s">
        <v>650</v>
      </c>
      <c r="K106" t="s">
        <v>63</v>
      </c>
      <c r="L106">
        <v>1368</v>
      </c>
      <c r="N106">
        <v>1011</v>
      </c>
      <c r="O106" t="s">
        <v>59</v>
      </c>
      <c r="P106" t="s">
        <v>59</v>
      </c>
      <c r="Q106">
        <v>1</v>
      </c>
      <c r="W106">
        <v>0</v>
      </c>
      <c r="X106">
        <v>-849950259</v>
      </c>
      <c r="Y106">
        <f t="shared" si="46"/>
        <v>1.6</v>
      </c>
      <c r="AA106">
        <v>0</v>
      </c>
      <c r="AB106">
        <v>643.29</v>
      </c>
      <c r="AC106">
        <v>722.05</v>
      </c>
      <c r="AD106">
        <v>0</v>
      </c>
      <c r="AE106">
        <v>0</v>
      </c>
      <c r="AF106">
        <v>643.29</v>
      </c>
      <c r="AG106">
        <v>722.05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-2</v>
      </c>
      <c r="AN106">
        <v>0</v>
      </c>
      <c r="AO106">
        <v>0</v>
      </c>
      <c r="AP106">
        <v>0</v>
      </c>
      <c r="AQ106">
        <v>1</v>
      </c>
      <c r="AR106">
        <v>0</v>
      </c>
      <c r="AS106" t="s">
        <v>332</v>
      </c>
      <c r="AT106">
        <v>1.6</v>
      </c>
      <c r="AU106" t="s">
        <v>332</v>
      </c>
      <c r="AV106">
        <v>1</v>
      </c>
      <c r="AW106">
        <v>2</v>
      </c>
      <c r="AX106">
        <v>78397708</v>
      </c>
      <c r="AY106">
        <v>1</v>
      </c>
      <c r="AZ106">
        <v>0</v>
      </c>
      <c r="BA106">
        <v>107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1029.2639999999999</v>
      </c>
      <c r="BL106">
        <v>1155.28</v>
      </c>
      <c r="BM106">
        <v>0</v>
      </c>
      <c r="BN106">
        <v>0</v>
      </c>
      <c r="BO106">
        <v>1.6</v>
      </c>
      <c r="BP106">
        <v>1</v>
      </c>
      <c r="BQ106">
        <v>0</v>
      </c>
      <c r="BR106">
        <v>1029.2639999999999</v>
      </c>
      <c r="BS106">
        <v>1155.28</v>
      </c>
      <c r="BT106">
        <v>0</v>
      </c>
      <c r="BU106">
        <v>0</v>
      </c>
      <c r="BV106">
        <v>1.6</v>
      </c>
      <c r="BW106">
        <v>1</v>
      </c>
      <c r="CV106">
        <v>0</v>
      </c>
      <c r="CW106">
        <f>ROUND(Y106*Source!I88*DO106,7)</f>
        <v>0.08</v>
      </c>
      <c r="CX106">
        <f>ROUND(Y106*Source!I88,7)</f>
        <v>0.08</v>
      </c>
      <c r="CY106">
        <f>AB106</f>
        <v>643.29</v>
      </c>
      <c r="CZ106">
        <f>AF106</f>
        <v>643.29</v>
      </c>
      <c r="DA106">
        <f>AJ106</f>
        <v>1</v>
      </c>
      <c r="DB106">
        <f t="shared" si="47"/>
        <v>1029.26</v>
      </c>
      <c r="DC106">
        <f t="shared" si="48"/>
        <v>1155.28</v>
      </c>
      <c r="DD106" t="s">
        <v>332</v>
      </c>
      <c r="DE106" t="s">
        <v>332</v>
      </c>
      <c r="DF106">
        <f>ROUND(ROUND(AE106,2)*CX106,2)</f>
        <v>0</v>
      </c>
      <c r="DG106">
        <f t="shared" si="45"/>
        <v>51.46</v>
      </c>
      <c r="DH106">
        <f t="shared" si="43"/>
        <v>57.76</v>
      </c>
      <c r="DI106">
        <f t="shared" si="44"/>
        <v>0</v>
      </c>
      <c r="DJ106">
        <f>DG106+DH106</f>
        <v>109.22</v>
      </c>
      <c r="DK106">
        <v>1</v>
      </c>
      <c r="DL106" t="s">
        <v>64</v>
      </c>
      <c r="DM106">
        <v>4</v>
      </c>
      <c r="DN106" t="s">
        <v>31</v>
      </c>
      <c r="DO106">
        <v>1</v>
      </c>
    </row>
    <row r="107" spans="1:119" x14ac:dyDescent="0.25">
      <c r="A107">
        <f>ROW(Source!A88)</f>
        <v>88</v>
      </c>
      <c r="B107">
        <v>78397139</v>
      </c>
      <c r="C107">
        <v>78397705</v>
      </c>
      <c r="D107">
        <v>77495881</v>
      </c>
      <c r="E107">
        <v>1</v>
      </c>
      <c r="F107">
        <v>1</v>
      </c>
      <c r="G107">
        <v>1</v>
      </c>
      <c r="H107">
        <v>3</v>
      </c>
      <c r="I107" t="s">
        <v>276</v>
      </c>
      <c r="J107" t="s">
        <v>696</v>
      </c>
      <c r="K107" t="s">
        <v>277</v>
      </c>
      <c r="L107">
        <v>1407</v>
      </c>
      <c r="N107">
        <v>1013</v>
      </c>
      <c r="O107" t="s">
        <v>84</v>
      </c>
      <c r="P107" t="s">
        <v>84</v>
      </c>
      <c r="Q107">
        <v>1</v>
      </c>
      <c r="W107">
        <v>0</v>
      </c>
      <c r="X107">
        <v>1233916336</v>
      </c>
      <c r="Y107">
        <f t="shared" si="46"/>
        <v>0.2</v>
      </c>
      <c r="AA107">
        <v>8287.8799999999992</v>
      </c>
      <c r="AB107">
        <v>0</v>
      </c>
      <c r="AC107">
        <v>0</v>
      </c>
      <c r="AD107">
        <v>0</v>
      </c>
      <c r="AE107">
        <v>7023.63</v>
      </c>
      <c r="AF107">
        <v>0</v>
      </c>
      <c r="AG107">
        <v>0</v>
      </c>
      <c r="AH107">
        <v>0</v>
      </c>
      <c r="AI107">
        <v>1.18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0</v>
      </c>
      <c r="AQ107">
        <v>1</v>
      </c>
      <c r="AR107">
        <v>0</v>
      </c>
      <c r="AS107" t="s">
        <v>332</v>
      </c>
      <c r="AT107">
        <v>0.2</v>
      </c>
      <c r="AU107" t="s">
        <v>332</v>
      </c>
      <c r="AV107">
        <v>0</v>
      </c>
      <c r="AW107">
        <v>2</v>
      </c>
      <c r="AX107">
        <v>78397709</v>
      </c>
      <c r="AY107">
        <v>1</v>
      </c>
      <c r="AZ107">
        <v>0</v>
      </c>
      <c r="BA107">
        <v>108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1404.7260000000001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1404.7260000000001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ROUND(Y107*Source!I88,7)</f>
        <v>0.01</v>
      </c>
      <c r="CY107">
        <f>AA107</f>
        <v>8287.8799999999992</v>
      </c>
      <c r="CZ107">
        <f>AE107</f>
        <v>7023.63</v>
      </c>
      <c r="DA107">
        <f>AI107</f>
        <v>1.18</v>
      </c>
      <c r="DB107">
        <f t="shared" si="47"/>
        <v>1404.73</v>
      </c>
      <c r="DC107">
        <f t="shared" si="48"/>
        <v>0</v>
      </c>
      <c r="DD107" t="s">
        <v>332</v>
      </c>
      <c r="DE107" t="s">
        <v>332</v>
      </c>
      <c r="DF107">
        <f>ROUND(ROUND(AE107*AI107,2)*CX107,2)</f>
        <v>82.88</v>
      </c>
      <c r="DG107">
        <f t="shared" si="45"/>
        <v>0</v>
      </c>
      <c r="DH107">
        <f t="shared" si="43"/>
        <v>0</v>
      </c>
      <c r="DI107">
        <f t="shared" si="44"/>
        <v>0</v>
      </c>
      <c r="DJ107">
        <f>DF107</f>
        <v>82.88</v>
      </c>
      <c r="DK107">
        <v>0</v>
      </c>
      <c r="DL107" t="s">
        <v>332</v>
      </c>
      <c r="DM107">
        <v>0</v>
      </c>
      <c r="DN107" t="s">
        <v>332</v>
      </c>
      <c r="DO107">
        <v>0</v>
      </c>
    </row>
    <row r="108" spans="1:119" x14ac:dyDescent="0.25">
      <c r="A108">
        <f>ROW(Source!A88)</f>
        <v>88</v>
      </c>
      <c r="B108">
        <v>78397139</v>
      </c>
      <c r="C108">
        <v>78397705</v>
      </c>
      <c r="D108">
        <v>77499590</v>
      </c>
      <c r="E108">
        <v>1</v>
      </c>
      <c r="F108">
        <v>1</v>
      </c>
      <c r="G108">
        <v>1</v>
      </c>
      <c r="H108">
        <v>3</v>
      </c>
      <c r="I108" t="s">
        <v>85</v>
      </c>
      <c r="J108" t="s">
        <v>652</v>
      </c>
      <c r="K108" t="s">
        <v>86</v>
      </c>
      <c r="L108">
        <v>1348</v>
      </c>
      <c r="N108">
        <v>1009</v>
      </c>
      <c r="O108" t="s">
        <v>87</v>
      </c>
      <c r="P108" t="s">
        <v>87</v>
      </c>
      <c r="Q108">
        <v>1000</v>
      </c>
      <c r="W108">
        <v>0</v>
      </c>
      <c r="X108">
        <v>-1787662946</v>
      </c>
      <c r="Y108">
        <f t="shared" si="46"/>
        <v>0.11</v>
      </c>
      <c r="AA108">
        <v>165402</v>
      </c>
      <c r="AB108">
        <v>0</v>
      </c>
      <c r="AC108">
        <v>0</v>
      </c>
      <c r="AD108">
        <v>0</v>
      </c>
      <c r="AE108">
        <v>151744.95000000001</v>
      </c>
      <c r="AF108">
        <v>0</v>
      </c>
      <c r="AG108">
        <v>0</v>
      </c>
      <c r="AH108">
        <v>0</v>
      </c>
      <c r="AI108">
        <v>1.0900000000000001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0</v>
      </c>
      <c r="AQ108">
        <v>1</v>
      </c>
      <c r="AR108">
        <v>0</v>
      </c>
      <c r="AS108" t="s">
        <v>332</v>
      </c>
      <c r="AT108">
        <v>0.11</v>
      </c>
      <c r="AU108" t="s">
        <v>332</v>
      </c>
      <c r="AV108">
        <v>0</v>
      </c>
      <c r="AW108">
        <v>2</v>
      </c>
      <c r="AX108">
        <v>78397710</v>
      </c>
      <c r="AY108">
        <v>1</v>
      </c>
      <c r="AZ108">
        <v>0</v>
      </c>
      <c r="BA108">
        <v>109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16691.944500000001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16691.944500000001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ROUND(Y108*Source!I88,7)</f>
        <v>5.4999999999999997E-3</v>
      </c>
      <c r="CY108">
        <f>AA108</f>
        <v>165402</v>
      </c>
      <c r="CZ108">
        <f>AE108</f>
        <v>151744.95000000001</v>
      </c>
      <c r="DA108">
        <f>AI108</f>
        <v>1.0900000000000001</v>
      </c>
      <c r="DB108">
        <f t="shared" si="47"/>
        <v>16691.939999999999</v>
      </c>
      <c r="DC108">
        <f t="shared" si="48"/>
        <v>0</v>
      </c>
      <c r="DD108" t="s">
        <v>332</v>
      </c>
      <c r="DE108" t="s">
        <v>332</v>
      </c>
      <c r="DF108">
        <f>ROUND(ROUND(AE108*AI108,2)*CX108,2)</f>
        <v>909.71</v>
      </c>
      <c r="DG108">
        <f t="shared" si="45"/>
        <v>0</v>
      </c>
      <c r="DH108">
        <f t="shared" si="43"/>
        <v>0</v>
      </c>
      <c r="DI108">
        <f t="shared" si="44"/>
        <v>0</v>
      </c>
      <c r="DJ108">
        <f>DF108</f>
        <v>909.71</v>
      </c>
      <c r="DK108">
        <v>0</v>
      </c>
      <c r="DL108" t="s">
        <v>332</v>
      </c>
      <c r="DM108">
        <v>0</v>
      </c>
      <c r="DN108" t="s">
        <v>332</v>
      </c>
      <c r="DO108">
        <v>0</v>
      </c>
    </row>
    <row r="109" spans="1:119" x14ac:dyDescent="0.25">
      <c r="A109">
        <f>ROW(Source!A88)</f>
        <v>88</v>
      </c>
      <c r="B109">
        <v>78397139</v>
      </c>
      <c r="C109">
        <v>78397705</v>
      </c>
      <c r="D109">
        <v>77519481</v>
      </c>
      <c r="E109">
        <v>1</v>
      </c>
      <c r="F109">
        <v>1</v>
      </c>
      <c r="G109">
        <v>1</v>
      </c>
      <c r="H109">
        <v>3</v>
      </c>
      <c r="I109" t="s">
        <v>519</v>
      </c>
      <c r="J109" t="s">
        <v>521</v>
      </c>
      <c r="K109" t="s">
        <v>520</v>
      </c>
      <c r="L109">
        <v>1371</v>
      </c>
      <c r="N109">
        <v>1013</v>
      </c>
      <c r="O109" t="s">
        <v>366</v>
      </c>
      <c r="P109" t="s">
        <v>366</v>
      </c>
      <c r="Q109">
        <v>1</v>
      </c>
      <c r="W109">
        <v>0</v>
      </c>
      <c r="X109">
        <v>723519388</v>
      </c>
      <c r="Y109">
        <f t="shared" si="46"/>
        <v>40</v>
      </c>
      <c r="AA109">
        <v>1570.81</v>
      </c>
      <c r="AB109">
        <v>0</v>
      </c>
      <c r="AC109">
        <v>0</v>
      </c>
      <c r="AD109">
        <v>0</v>
      </c>
      <c r="AE109">
        <v>1138.27</v>
      </c>
      <c r="AF109">
        <v>0</v>
      </c>
      <c r="AG109">
        <v>0</v>
      </c>
      <c r="AH109">
        <v>0</v>
      </c>
      <c r="AI109">
        <v>1.38</v>
      </c>
      <c r="AJ109">
        <v>1</v>
      </c>
      <c r="AK109">
        <v>1</v>
      </c>
      <c r="AL109">
        <v>1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 t="s">
        <v>332</v>
      </c>
      <c r="AT109">
        <v>40</v>
      </c>
      <c r="AU109" t="s">
        <v>332</v>
      </c>
      <c r="AV109">
        <v>0</v>
      </c>
      <c r="AW109">
        <v>1</v>
      </c>
      <c r="AX109">
        <v>-1</v>
      </c>
      <c r="AY109">
        <v>0</v>
      </c>
      <c r="AZ109">
        <v>0</v>
      </c>
      <c r="BA109" t="s">
        <v>332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ROUND(Y109*Source!I88,7)</f>
        <v>2</v>
      </c>
      <c r="CY109">
        <f>AA109</f>
        <v>1570.81</v>
      </c>
      <c r="CZ109">
        <f>AE109</f>
        <v>1138.27</v>
      </c>
      <c r="DA109">
        <f>AI109</f>
        <v>1.38</v>
      </c>
      <c r="DB109">
        <f t="shared" si="47"/>
        <v>45530.8</v>
      </c>
      <c r="DC109">
        <f t="shared" si="48"/>
        <v>0</v>
      </c>
      <c r="DD109" t="s">
        <v>332</v>
      </c>
      <c r="DE109" t="s">
        <v>332</v>
      </c>
      <c r="DF109">
        <f>ROUND(ROUND(AE109*AI109,2)*CX109,2)</f>
        <v>3141.62</v>
      </c>
      <c r="DG109">
        <f t="shared" si="45"/>
        <v>0</v>
      </c>
      <c r="DH109">
        <f t="shared" si="43"/>
        <v>0</v>
      </c>
      <c r="DI109">
        <f t="shared" si="44"/>
        <v>0</v>
      </c>
      <c r="DJ109">
        <f>DF109</f>
        <v>3141.62</v>
      </c>
      <c r="DK109">
        <v>0</v>
      </c>
      <c r="DL109" t="s">
        <v>332</v>
      </c>
      <c r="DM109">
        <v>0</v>
      </c>
      <c r="DN109" t="s">
        <v>332</v>
      </c>
      <c r="DO109">
        <v>0</v>
      </c>
    </row>
    <row r="110" spans="1:119" x14ac:dyDescent="0.25">
      <c r="A110">
        <f>ROW(Source!A88)</f>
        <v>88</v>
      </c>
      <c r="B110">
        <v>78397139</v>
      </c>
      <c r="C110">
        <v>78397705</v>
      </c>
      <c r="D110">
        <v>77519485</v>
      </c>
      <c r="E110">
        <v>1</v>
      </c>
      <c r="F110">
        <v>1</v>
      </c>
      <c r="G110">
        <v>1</v>
      </c>
      <c r="H110">
        <v>3</v>
      </c>
      <c r="I110" t="s">
        <v>523</v>
      </c>
      <c r="J110" t="s">
        <v>525</v>
      </c>
      <c r="K110" t="s">
        <v>524</v>
      </c>
      <c r="L110">
        <v>1371</v>
      </c>
      <c r="N110">
        <v>1013</v>
      </c>
      <c r="O110" t="s">
        <v>366</v>
      </c>
      <c r="P110" t="s">
        <v>366</v>
      </c>
      <c r="Q110">
        <v>1</v>
      </c>
      <c r="W110">
        <v>0</v>
      </c>
      <c r="X110">
        <v>-1048499468</v>
      </c>
      <c r="Y110">
        <f t="shared" si="46"/>
        <v>60</v>
      </c>
      <c r="AA110">
        <v>6167.18</v>
      </c>
      <c r="AB110">
        <v>0</v>
      </c>
      <c r="AC110">
        <v>0</v>
      </c>
      <c r="AD110">
        <v>0</v>
      </c>
      <c r="AE110">
        <v>4468.97</v>
      </c>
      <c r="AF110">
        <v>0</v>
      </c>
      <c r="AG110">
        <v>0</v>
      </c>
      <c r="AH110">
        <v>0</v>
      </c>
      <c r="AI110">
        <v>1.38</v>
      </c>
      <c r="AJ110">
        <v>1</v>
      </c>
      <c r="AK110">
        <v>1</v>
      </c>
      <c r="AL110">
        <v>1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 t="s">
        <v>332</v>
      </c>
      <c r="AT110">
        <v>60</v>
      </c>
      <c r="AU110" t="s">
        <v>332</v>
      </c>
      <c r="AV110">
        <v>0</v>
      </c>
      <c r="AW110">
        <v>1</v>
      </c>
      <c r="AX110">
        <v>-1</v>
      </c>
      <c r="AY110">
        <v>0</v>
      </c>
      <c r="AZ110">
        <v>0</v>
      </c>
      <c r="BA110" t="s">
        <v>332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ROUND(Y110*Source!I88,7)</f>
        <v>3</v>
      </c>
      <c r="CY110">
        <f>AA110</f>
        <v>6167.18</v>
      </c>
      <c r="CZ110">
        <f>AE110</f>
        <v>4468.97</v>
      </c>
      <c r="DA110">
        <f>AI110</f>
        <v>1.38</v>
      </c>
      <c r="DB110">
        <f t="shared" si="47"/>
        <v>268138.2</v>
      </c>
      <c r="DC110">
        <f t="shared" si="48"/>
        <v>0</v>
      </c>
      <c r="DD110" t="s">
        <v>332</v>
      </c>
      <c r="DE110" t="s">
        <v>332</v>
      </c>
      <c r="DF110">
        <f>ROUND(ROUND(AE110*AI110,2)*CX110,2)</f>
        <v>18501.54</v>
      </c>
      <c r="DG110">
        <f t="shared" si="45"/>
        <v>0</v>
      </c>
      <c r="DH110">
        <f t="shared" si="43"/>
        <v>0</v>
      </c>
      <c r="DI110">
        <f t="shared" si="44"/>
        <v>0</v>
      </c>
      <c r="DJ110">
        <f>DF110</f>
        <v>18501.54</v>
      </c>
      <c r="DK110">
        <v>0</v>
      </c>
      <c r="DL110" t="s">
        <v>332</v>
      </c>
      <c r="DM110">
        <v>0</v>
      </c>
      <c r="DN110" t="s">
        <v>332</v>
      </c>
      <c r="DO110">
        <v>0</v>
      </c>
    </row>
    <row r="111" spans="1:119" x14ac:dyDescent="0.25">
      <c r="A111">
        <f>ROW(Source!A88)</f>
        <v>88</v>
      </c>
      <c r="B111">
        <v>78397139</v>
      </c>
      <c r="C111">
        <v>78397705</v>
      </c>
      <c r="D111">
        <v>77429794</v>
      </c>
      <c r="E111">
        <v>117</v>
      </c>
      <c r="F111">
        <v>1</v>
      </c>
      <c r="G111">
        <v>1</v>
      </c>
      <c r="H111">
        <v>3</v>
      </c>
      <c r="I111" t="s">
        <v>369</v>
      </c>
      <c r="J111" t="s">
        <v>332</v>
      </c>
      <c r="K111" t="s">
        <v>370</v>
      </c>
      <c r="L111">
        <v>1348</v>
      </c>
      <c r="N111">
        <v>1009</v>
      </c>
      <c r="O111" t="s">
        <v>87</v>
      </c>
      <c r="P111" t="s">
        <v>87</v>
      </c>
      <c r="Q111">
        <v>1000</v>
      </c>
      <c r="W111">
        <v>0</v>
      </c>
      <c r="X111">
        <v>-1296435862</v>
      </c>
      <c r="Y111">
        <f t="shared" si="46"/>
        <v>1.8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 t="s">
        <v>332</v>
      </c>
      <c r="AT111">
        <v>1.8</v>
      </c>
      <c r="AU111" t="s">
        <v>332</v>
      </c>
      <c r="AV111">
        <v>0</v>
      </c>
      <c r="AW111">
        <v>2</v>
      </c>
      <c r="AX111">
        <v>78397712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ROUND(Y111*Source!I88,7)</f>
        <v>0.09</v>
      </c>
      <c r="CY111">
        <f>AA111</f>
        <v>0</v>
      </c>
      <c r="CZ111">
        <f>AE111</f>
        <v>0</v>
      </c>
      <c r="DA111">
        <f>AI111</f>
        <v>1</v>
      </c>
      <c r="DB111">
        <f t="shared" si="47"/>
        <v>0</v>
      </c>
      <c r="DC111">
        <f t="shared" si="48"/>
        <v>0</v>
      </c>
      <c r="DD111" t="s">
        <v>332</v>
      </c>
      <c r="DE111" t="s">
        <v>332</v>
      </c>
      <c r="DF111">
        <f t="shared" ref="DF111:DF117" si="49">ROUND(ROUND(AE111,2)*CX111,2)</f>
        <v>0</v>
      </c>
      <c r="DG111">
        <f t="shared" si="45"/>
        <v>0</v>
      </c>
      <c r="DH111">
        <f t="shared" si="43"/>
        <v>0</v>
      </c>
      <c r="DI111">
        <f t="shared" si="44"/>
        <v>0</v>
      </c>
      <c r="DJ111">
        <f>DF111</f>
        <v>0</v>
      </c>
      <c r="DK111">
        <v>0</v>
      </c>
      <c r="DL111" t="s">
        <v>332</v>
      </c>
      <c r="DM111">
        <v>0</v>
      </c>
      <c r="DN111" t="s">
        <v>332</v>
      </c>
      <c r="DO111">
        <v>0</v>
      </c>
    </row>
    <row r="112" spans="1:119" x14ac:dyDescent="0.25">
      <c r="A112">
        <f>ROW(Source!A127)</f>
        <v>127</v>
      </c>
      <c r="B112">
        <v>78397139</v>
      </c>
      <c r="C112">
        <v>78397777</v>
      </c>
      <c r="D112">
        <v>77423786</v>
      </c>
      <c r="E112">
        <v>117</v>
      </c>
      <c r="F112">
        <v>1</v>
      </c>
      <c r="G112">
        <v>1</v>
      </c>
      <c r="H112">
        <v>1</v>
      </c>
      <c r="I112" t="s">
        <v>96</v>
      </c>
      <c r="J112" t="s">
        <v>332</v>
      </c>
      <c r="K112" t="s">
        <v>97</v>
      </c>
      <c r="L112">
        <v>1191</v>
      </c>
      <c r="N112">
        <v>1013</v>
      </c>
      <c r="O112" t="s">
        <v>31</v>
      </c>
      <c r="P112" t="s">
        <v>31</v>
      </c>
      <c r="Q112">
        <v>1</v>
      </c>
      <c r="W112">
        <v>0</v>
      </c>
      <c r="X112">
        <v>888410196</v>
      </c>
      <c r="Y112">
        <f t="shared" si="46"/>
        <v>158.5</v>
      </c>
      <c r="AA112">
        <v>0</v>
      </c>
      <c r="AB112">
        <v>0</v>
      </c>
      <c r="AC112">
        <v>0</v>
      </c>
      <c r="AD112">
        <v>722.05</v>
      </c>
      <c r="AE112">
        <v>0</v>
      </c>
      <c r="AF112">
        <v>0</v>
      </c>
      <c r="AG112">
        <v>0</v>
      </c>
      <c r="AH112">
        <v>722.05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0</v>
      </c>
      <c r="AQ112">
        <v>1</v>
      </c>
      <c r="AR112">
        <v>0</v>
      </c>
      <c r="AS112" t="s">
        <v>332</v>
      </c>
      <c r="AT112">
        <v>158.5</v>
      </c>
      <c r="AU112" t="s">
        <v>332</v>
      </c>
      <c r="AV112">
        <v>1</v>
      </c>
      <c r="AW112">
        <v>2</v>
      </c>
      <c r="AX112">
        <v>78397778</v>
      </c>
      <c r="AY112">
        <v>1</v>
      </c>
      <c r="AZ112">
        <v>0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114444.925</v>
      </c>
      <c r="BN112">
        <v>158.5</v>
      </c>
      <c r="BO112">
        <v>0</v>
      </c>
      <c r="BP112">
        <v>1</v>
      </c>
      <c r="BQ112">
        <v>0</v>
      </c>
      <c r="BR112">
        <v>0</v>
      </c>
      <c r="BS112">
        <v>0</v>
      </c>
      <c r="BT112">
        <v>114444.925</v>
      </c>
      <c r="BU112">
        <v>158.5</v>
      </c>
      <c r="BV112">
        <v>0</v>
      </c>
      <c r="BW112">
        <v>1</v>
      </c>
      <c r="CU112">
        <f>ROUND(AT112*Source!I127*AH112*AL112,2)</f>
        <v>2288.9</v>
      </c>
      <c r="CV112">
        <f>ROUND(Y112*Source!I127,7)</f>
        <v>3.17</v>
      </c>
      <c r="CW112">
        <v>0</v>
      </c>
      <c r="CX112">
        <f>ROUND(Y112*Source!I127,7)</f>
        <v>3.17</v>
      </c>
      <c r="CY112">
        <f>AD112</f>
        <v>722.05</v>
      </c>
      <c r="CZ112">
        <f>AH112</f>
        <v>722.05</v>
      </c>
      <c r="DA112">
        <f>AL112</f>
        <v>1</v>
      </c>
      <c r="DB112">
        <f t="shared" si="47"/>
        <v>114444.93</v>
      </c>
      <c r="DC112">
        <f t="shared" si="48"/>
        <v>0</v>
      </c>
      <c r="DD112" t="s">
        <v>332</v>
      </c>
      <c r="DE112" t="s">
        <v>332</v>
      </c>
      <c r="DF112">
        <f t="shared" si="49"/>
        <v>0</v>
      </c>
      <c r="DG112">
        <f t="shared" si="45"/>
        <v>0</v>
      </c>
      <c r="DH112">
        <f t="shared" si="43"/>
        <v>0</v>
      </c>
      <c r="DI112">
        <f t="shared" si="44"/>
        <v>2288.9</v>
      </c>
      <c r="DJ112">
        <f>DI112</f>
        <v>2288.9</v>
      </c>
      <c r="DK112">
        <v>1</v>
      </c>
      <c r="DL112" t="s">
        <v>332</v>
      </c>
      <c r="DM112">
        <v>0</v>
      </c>
      <c r="DN112" t="s">
        <v>332</v>
      </c>
      <c r="DO112">
        <v>0</v>
      </c>
    </row>
    <row r="113" spans="1:119" x14ac:dyDescent="0.25">
      <c r="A113">
        <f>ROW(Source!A127)</f>
        <v>127</v>
      </c>
      <c r="B113">
        <v>78397139</v>
      </c>
      <c r="C113">
        <v>78397777</v>
      </c>
      <c r="D113">
        <v>77423956</v>
      </c>
      <c r="E113">
        <v>117</v>
      </c>
      <c r="F113">
        <v>1</v>
      </c>
      <c r="G113">
        <v>1</v>
      </c>
      <c r="H113">
        <v>1</v>
      </c>
      <c r="I113" t="s">
        <v>647</v>
      </c>
      <c r="J113" t="s">
        <v>332</v>
      </c>
      <c r="K113" t="s">
        <v>648</v>
      </c>
      <c r="L113">
        <v>1191</v>
      </c>
      <c r="N113">
        <v>1013</v>
      </c>
      <c r="O113" t="s">
        <v>31</v>
      </c>
      <c r="P113" t="s">
        <v>31</v>
      </c>
      <c r="Q113">
        <v>1</v>
      </c>
      <c r="W113">
        <v>0</v>
      </c>
      <c r="X113">
        <v>-1417349443</v>
      </c>
      <c r="Y113">
        <f t="shared" si="46"/>
        <v>0.72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0</v>
      </c>
      <c r="AQ113">
        <v>1</v>
      </c>
      <c r="AR113">
        <v>0</v>
      </c>
      <c r="AS113" t="s">
        <v>332</v>
      </c>
      <c r="AT113">
        <v>0.72</v>
      </c>
      <c r="AU113" t="s">
        <v>332</v>
      </c>
      <c r="AV113">
        <v>2</v>
      </c>
      <c r="AW113">
        <v>2</v>
      </c>
      <c r="AX113">
        <v>78397779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ROUND(Y113*Source!I127,7)</f>
        <v>1.44E-2</v>
      </c>
      <c r="CY113">
        <f>AD113</f>
        <v>0</v>
      </c>
      <c r="CZ113">
        <f>AH113</f>
        <v>0</v>
      </c>
      <c r="DA113">
        <f>AL113</f>
        <v>1</v>
      </c>
      <c r="DB113">
        <f t="shared" si="47"/>
        <v>0</v>
      </c>
      <c r="DC113">
        <f t="shared" si="48"/>
        <v>0</v>
      </c>
      <c r="DD113" t="s">
        <v>332</v>
      </c>
      <c r="DE113" t="s">
        <v>332</v>
      </c>
      <c r="DF113">
        <f t="shared" si="49"/>
        <v>0</v>
      </c>
      <c r="DG113">
        <f t="shared" si="45"/>
        <v>0</v>
      </c>
      <c r="DH113">
        <f t="shared" si="43"/>
        <v>0</v>
      </c>
      <c r="DI113">
        <f t="shared" si="44"/>
        <v>0</v>
      </c>
      <c r="DJ113">
        <f>DI113</f>
        <v>0</v>
      </c>
      <c r="DK113">
        <v>0</v>
      </c>
      <c r="DL113" t="s">
        <v>332</v>
      </c>
      <c r="DM113">
        <v>0</v>
      </c>
      <c r="DN113" t="s">
        <v>332</v>
      </c>
      <c r="DO113">
        <v>0</v>
      </c>
    </row>
    <row r="114" spans="1:119" x14ac:dyDescent="0.25">
      <c r="A114">
        <f>ROW(Source!A127)</f>
        <v>127</v>
      </c>
      <c r="B114">
        <v>78397139</v>
      </c>
      <c r="C114">
        <v>78397777</v>
      </c>
      <c r="D114">
        <v>77430632</v>
      </c>
      <c r="E114">
        <v>1</v>
      </c>
      <c r="F114">
        <v>1</v>
      </c>
      <c r="G114">
        <v>1</v>
      </c>
      <c r="H114">
        <v>2</v>
      </c>
      <c r="I114" t="s">
        <v>57</v>
      </c>
      <c r="J114" t="s">
        <v>649</v>
      </c>
      <c r="K114" t="s">
        <v>58</v>
      </c>
      <c r="L114">
        <v>1368</v>
      </c>
      <c r="N114">
        <v>1011</v>
      </c>
      <c r="O114" t="s">
        <v>59</v>
      </c>
      <c r="P114" t="s">
        <v>59</v>
      </c>
      <c r="Q114">
        <v>1</v>
      </c>
      <c r="W114">
        <v>0</v>
      </c>
      <c r="X114">
        <v>945201097</v>
      </c>
      <c r="Y114">
        <f t="shared" si="46"/>
        <v>0.36</v>
      </c>
      <c r="AA114">
        <v>0</v>
      </c>
      <c r="AB114">
        <v>57.47</v>
      </c>
      <c r="AC114">
        <v>641.22</v>
      </c>
      <c r="AD114">
        <v>0</v>
      </c>
      <c r="AE114">
        <v>0</v>
      </c>
      <c r="AF114">
        <v>37.32</v>
      </c>
      <c r="AG114">
        <v>641.22</v>
      </c>
      <c r="AH114">
        <v>0</v>
      </c>
      <c r="AI114">
        <v>1</v>
      </c>
      <c r="AJ114">
        <v>1.54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0</v>
      </c>
      <c r="AQ114">
        <v>1</v>
      </c>
      <c r="AR114">
        <v>0</v>
      </c>
      <c r="AS114" t="s">
        <v>332</v>
      </c>
      <c r="AT114">
        <v>0.36</v>
      </c>
      <c r="AU114" t="s">
        <v>332</v>
      </c>
      <c r="AV114">
        <v>1</v>
      </c>
      <c r="AW114">
        <v>2</v>
      </c>
      <c r="AX114">
        <v>78397780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13.4352</v>
      </c>
      <c r="BL114">
        <v>230.83920000000001</v>
      </c>
      <c r="BM114">
        <v>0</v>
      </c>
      <c r="BN114">
        <v>0</v>
      </c>
      <c r="BO114">
        <v>0.36</v>
      </c>
      <c r="BP114">
        <v>1</v>
      </c>
      <c r="BQ114">
        <v>0</v>
      </c>
      <c r="BR114">
        <v>13.4352</v>
      </c>
      <c r="BS114">
        <v>230.83920000000001</v>
      </c>
      <c r="BT114">
        <v>0</v>
      </c>
      <c r="BU114">
        <v>0</v>
      </c>
      <c r="BV114">
        <v>0.36</v>
      </c>
      <c r="BW114">
        <v>1</v>
      </c>
      <c r="CV114">
        <v>0</v>
      </c>
      <c r="CW114">
        <f>ROUND(Y114*Source!I127*DO114,7)</f>
        <v>7.1999999999999998E-3</v>
      </c>
      <c r="CX114">
        <f>ROUND(Y114*Source!I127,7)</f>
        <v>7.1999999999999998E-3</v>
      </c>
      <c r="CY114">
        <f>AB114</f>
        <v>57.47</v>
      </c>
      <c r="CZ114">
        <f>AF114</f>
        <v>37.32</v>
      </c>
      <c r="DA114">
        <f>AJ114</f>
        <v>1.54</v>
      </c>
      <c r="DB114">
        <f t="shared" si="47"/>
        <v>13.44</v>
      </c>
      <c r="DC114">
        <f t="shared" si="48"/>
        <v>230.84</v>
      </c>
      <c r="DD114" t="s">
        <v>332</v>
      </c>
      <c r="DE114" t="s">
        <v>332</v>
      </c>
      <c r="DF114">
        <f t="shared" si="49"/>
        <v>0</v>
      </c>
      <c r="DG114">
        <f>ROUND(ROUND(AF114*AJ114,2)*CX114,2)</f>
        <v>0.41</v>
      </c>
      <c r="DH114">
        <f t="shared" si="43"/>
        <v>4.62</v>
      </c>
      <c r="DI114">
        <f t="shared" si="44"/>
        <v>0</v>
      </c>
      <c r="DJ114">
        <f>DG114+DH114</f>
        <v>5.03</v>
      </c>
      <c r="DK114">
        <v>0</v>
      </c>
      <c r="DL114" t="s">
        <v>60</v>
      </c>
      <c r="DM114">
        <v>3</v>
      </c>
      <c r="DN114" t="s">
        <v>31</v>
      </c>
      <c r="DO114">
        <v>1</v>
      </c>
    </row>
    <row r="115" spans="1:119" x14ac:dyDescent="0.25">
      <c r="A115">
        <f>ROW(Source!A127)</f>
        <v>127</v>
      </c>
      <c r="B115">
        <v>78397139</v>
      </c>
      <c r="C115">
        <v>78397777</v>
      </c>
      <c r="D115">
        <v>77431339</v>
      </c>
      <c r="E115">
        <v>1</v>
      </c>
      <c r="F115">
        <v>1</v>
      </c>
      <c r="G115">
        <v>1</v>
      </c>
      <c r="H115">
        <v>2</v>
      </c>
      <c r="I115" t="s">
        <v>62</v>
      </c>
      <c r="J115" t="s">
        <v>650</v>
      </c>
      <c r="K115" t="s">
        <v>63</v>
      </c>
      <c r="L115">
        <v>1368</v>
      </c>
      <c r="N115">
        <v>1011</v>
      </c>
      <c r="O115" t="s">
        <v>59</v>
      </c>
      <c r="P115" t="s">
        <v>59</v>
      </c>
      <c r="Q115">
        <v>1</v>
      </c>
      <c r="W115">
        <v>0</v>
      </c>
      <c r="X115">
        <v>-849950259</v>
      </c>
      <c r="Y115">
        <f t="shared" si="46"/>
        <v>0.36</v>
      </c>
      <c r="AA115">
        <v>0</v>
      </c>
      <c r="AB115">
        <v>643.29</v>
      </c>
      <c r="AC115">
        <v>722.05</v>
      </c>
      <c r="AD115">
        <v>0</v>
      </c>
      <c r="AE115">
        <v>0</v>
      </c>
      <c r="AF115">
        <v>643.29</v>
      </c>
      <c r="AG115">
        <v>722.05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0</v>
      </c>
      <c r="AQ115">
        <v>1</v>
      </c>
      <c r="AR115">
        <v>0</v>
      </c>
      <c r="AS115" t="s">
        <v>332</v>
      </c>
      <c r="AT115">
        <v>0.36</v>
      </c>
      <c r="AU115" t="s">
        <v>332</v>
      </c>
      <c r="AV115">
        <v>1</v>
      </c>
      <c r="AW115">
        <v>2</v>
      </c>
      <c r="AX115">
        <v>78397781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231.58439999999999</v>
      </c>
      <c r="BL115">
        <v>259.93799999999999</v>
      </c>
      <c r="BM115">
        <v>0</v>
      </c>
      <c r="BN115">
        <v>0</v>
      </c>
      <c r="BO115">
        <v>0.36</v>
      </c>
      <c r="BP115">
        <v>1</v>
      </c>
      <c r="BQ115">
        <v>0</v>
      </c>
      <c r="BR115">
        <v>231.58439999999999</v>
      </c>
      <c r="BS115">
        <v>259.93799999999999</v>
      </c>
      <c r="BT115">
        <v>0</v>
      </c>
      <c r="BU115">
        <v>0</v>
      </c>
      <c r="BV115">
        <v>0.36</v>
      </c>
      <c r="BW115">
        <v>1</v>
      </c>
      <c r="CV115">
        <v>0</v>
      </c>
      <c r="CW115">
        <f>ROUND(Y115*Source!I127*DO115,7)</f>
        <v>7.1999999999999998E-3</v>
      </c>
      <c r="CX115">
        <f>ROUND(Y115*Source!I127,7)</f>
        <v>7.1999999999999998E-3</v>
      </c>
      <c r="CY115">
        <f>AB115</f>
        <v>643.29</v>
      </c>
      <c r="CZ115">
        <f>AF115</f>
        <v>643.29</v>
      </c>
      <c r="DA115">
        <f>AJ115</f>
        <v>1</v>
      </c>
      <c r="DB115">
        <f t="shared" si="47"/>
        <v>231.58</v>
      </c>
      <c r="DC115">
        <f t="shared" si="48"/>
        <v>259.94</v>
      </c>
      <c r="DD115" t="s">
        <v>332</v>
      </c>
      <c r="DE115" t="s">
        <v>332</v>
      </c>
      <c r="DF115">
        <f t="shared" si="49"/>
        <v>0</v>
      </c>
      <c r="DG115">
        <f>ROUND(ROUND(AF115,2)*CX115,2)</f>
        <v>4.63</v>
      </c>
      <c r="DH115">
        <f t="shared" si="43"/>
        <v>5.2</v>
      </c>
      <c r="DI115">
        <f t="shared" si="44"/>
        <v>0</v>
      </c>
      <c r="DJ115">
        <f>DG115+DH115</f>
        <v>9.83</v>
      </c>
      <c r="DK115">
        <v>1</v>
      </c>
      <c r="DL115" t="s">
        <v>64</v>
      </c>
      <c r="DM115">
        <v>4</v>
      </c>
      <c r="DN115" t="s">
        <v>31</v>
      </c>
      <c r="DO115">
        <v>1</v>
      </c>
    </row>
    <row r="116" spans="1:119" x14ac:dyDescent="0.25">
      <c r="A116">
        <f>ROW(Source!A127)</f>
        <v>127</v>
      </c>
      <c r="B116">
        <v>78397139</v>
      </c>
      <c r="C116">
        <v>78397777</v>
      </c>
      <c r="D116">
        <v>77431497</v>
      </c>
      <c r="E116">
        <v>1</v>
      </c>
      <c r="F116">
        <v>1</v>
      </c>
      <c r="G116">
        <v>1</v>
      </c>
      <c r="H116">
        <v>2</v>
      </c>
      <c r="I116" t="s">
        <v>98</v>
      </c>
      <c r="J116" t="s">
        <v>653</v>
      </c>
      <c r="K116" t="s">
        <v>99</v>
      </c>
      <c r="L116">
        <v>1368</v>
      </c>
      <c r="N116">
        <v>1011</v>
      </c>
      <c r="O116" t="s">
        <v>59</v>
      </c>
      <c r="P116" t="s">
        <v>59</v>
      </c>
      <c r="Q116">
        <v>1</v>
      </c>
      <c r="W116">
        <v>0</v>
      </c>
      <c r="X116">
        <v>-880363394</v>
      </c>
      <c r="Y116">
        <f t="shared" si="46"/>
        <v>8.9</v>
      </c>
      <c r="AA116">
        <v>0</v>
      </c>
      <c r="AB116">
        <v>5.35</v>
      </c>
      <c r="AC116">
        <v>0</v>
      </c>
      <c r="AD116">
        <v>0</v>
      </c>
      <c r="AE116">
        <v>0</v>
      </c>
      <c r="AF116">
        <v>4.3499999999999996</v>
      </c>
      <c r="AG116">
        <v>0</v>
      </c>
      <c r="AH116">
        <v>0</v>
      </c>
      <c r="AI116">
        <v>1</v>
      </c>
      <c r="AJ116">
        <v>1.23</v>
      </c>
      <c r="AK116">
        <v>1</v>
      </c>
      <c r="AL116">
        <v>1</v>
      </c>
      <c r="AM116">
        <v>2</v>
      </c>
      <c r="AN116">
        <v>0</v>
      </c>
      <c r="AO116">
        <v>0</v>
      </c>
      <c r="AP116">
        <v>0</v>
      </c>
      <c r="AQ116">
        <v>1</v>
      </c>
      <c r="AR116">
        <v>0</v>
      </c>
      <c r="AS116" t="s">
        <v>332</v>
      </c>
      <c r="AT116">
        <v>8.9</v>
      </c>
      <c r="AU116" t="s">
        <v>332</v>
      </c>
      <c r="AV116">
        <v>1</v>
      </c>
      <c r="AW116">
        <v>2</v>
      </c>
      <c r="AX116">
        <v>78397782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38.715000000000003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0</v>
      </c>
      <c r="BR116">
        <v>38.715000000000003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f>ROUND(Y116*Source!I127*DO116,7)</f>
        <v>0</v>
      </c>
      <c r="CX116">
        <f>ROUND(Y116*Source!I127,7)</f>
        <v>0.17799999999999999</v>
      </c>
      <c r="CY116">
        <f>AB116</f>
        <v>5.35</v>
      </c>
      <c r="CZ116">
        <f>AF116</f>
        <v>4.3499999999999996</v>
      </c>
      <c r="DA116">
        <f>AJ116</f>
        <v>1.23</v>
      </c>
      <c r="DB116">
        <f t="shared" si="47"/>
        <v>38.72</v>
      </c>
      <c r="DC116">
        <f t="shared" si="48"/>
        <v>0</v>
      </c>
      <c r="DD116" t="s">
        <v>332</v>
      </c>
      <c r="DE116" t="s">
        <v>332</v>
      </c>
      <c r="DF116">
        <f t="shared" si="49"/>
        <v>0</v>
      </c>
      <c r="DG116">
        <f>ROUND(ROUND(AF116*AJ116,2)*CX116,2)</f>
        <v>0.95</v>
      </c>
      <c r="DH116">
        <f t="shared" si="43"/>
        <v>0</v>
      </c>
      <c r="DI116">
        <f t="shared" si="44"/>
        <v>0</v>
      </c>
      <c r="DJ116">
        <f>DG116+DH116</f>
        <v>0.95</v>
      </c>
      <c r="DK116">
        <v>0</v>
      </c>
      <c r="DL116" t="s">
        <v>332</v>
      </c>
      <c r="DM116">
        <v>0</v>
      </c>
      <c r="DN116" t="s">
        <v>332</v>
      </c>
      <c r="DO116">
        <v>0</v>
      </c>
    </row>
    <row r="117" spans="1:119" x14ac:dyDescent="0.25">
      <c r="A117">
        <f>ROW(Source!A127)</f>
        <v>127</v>
      </c>
      <c r="B117">
        <v>78397139</v>
      </c>
      <c r="C117">
        <v>78397777</v>
      </c>
      <c r="D117">
        <v>77431535</v>
      </c>
      <c r="E117">
        <v>1</v>
      </c>
      <c r="F117">
        <v>1</v>
      </c>
      <c r="G117">
        <v>1</v>
      </c>
      <c r="H117">
        <v>2</v>
      </c>
      <c r="I117" t="s">
        <v>100</v>
      </c>
      <c r="J117" t="s">
        <v>654</v>
      </c>
      <c r="K117" t="s">
        <v>101</v>
      </c>
      <c r="L117">
        <v>1368</v>
      </c>
      <c r="N117">
        <v>1011</v>
      </c>
      <c r="O117" t="s">
        <v>59</v>
      </c>
      <c r="P117" t="s">
        <v>59</v>
      </c>
      <c r="Q117">
        <v>1</v>
      </c>
      <c r="W117">
        <v>0</v>
      </c>
      <c r="X117">
        <v>303316554</v>
      </c>
      <c r="Y117">
        <f t="shared" si="46"/>
        <v>25.9</v>
      </c>
      <c r="AA117">
        <v>0</v>
      </c>
      <c r="AB117">
        <v>32.26</v>
      </c>
      <c r="AC117">
        <v>0</v>
      </c>
      <c r="AD117">
        <v>0</v>
      </c>
      <c r="AE117">
        <v>0</v>
      </c>
      <c r="AF117">
        <v>32.26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0</v>
      </c>
      <c r="AQ117">
        <v>1</v>
      </c>
      <c r="AR117">
        <v>0</v>
      </c>
      <c r="AS117" t="s">
        <v>332</v>
      </c>
      <c r="AT117">
        <v>25.9</v>
      </c>
      <c r="AU117" t="s">
        <v>332</v>
      </c>
      <c r="AV117">
        <v>1</v>
      </c>
      <c r="AW117">
        <v>2</v>
      </c>
      <c r="AX117">
        <v>78397783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835.53399999999999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0</v>
      </c>
      <c r="BR117">
        <v>835.53399999999999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f>ROUND(Y117*Source!I127*DO117,7)</f>
        <v>0</v>
      </c>
      <c r="CX117">
        <f>ROUND(Y117*Source!I127,7)</f>
        <v>0.51800000000000002</v>
      </c>
      <c r="CY117">
        <f>AB117</f>
        <v>32.26</v>
      </c>
      <c r="CZ117">
        <f>AF117</f>
        <v>32.26</v>
      </c>
      <c r="DA117">
        <f>AJ117</f>
        <v>1</v>
      </c>
      <c r="DB117">
        <f t="shared" si="47"/>
        <v>835.53</v>
      </c>
      <c r="DC117">
        <f t="shared" si="48"/>
        <v>0</v>
      </c>
      <c r="DD117" t="s">
        <v>332</v>
      </c>
      <c r="DE117" t="s">
        <v>332</v>
      </c>
      <c r="DF117">
        <f t="shared" si="49"/>
        <v>0</v>
      </c>
      <c r="DG117">
        <f t="shared" ref="DG117:DG126" si="50">ROUND(ROUND(AF117,2)*CX117,2)</f>
        <v>16.71</v>
      </c>
      <c r="DH117">
        <f t="shared" si="43"/>
        <v>0</v>
      </c>
      <c r="DI117">
        <f t="shared" si="44"/>
        <v>0</v>
      </c>
      <c r="DJ117">
        <f>DG117+DH117</f>
        <v>16.71</v>
      </c>
      <c r="DK117">
        <v>1</v>
      </c>
      <c r="DL117" t="s">
        <v>332</v>
      </c>
      <c r="DM117">
        <v>0</v>
      </c>
      <c r="DN117" t="s">
        <v>332</v>
      </c>
      <c r="DO117">
        <v>0</v>
      </c>
    </row>
    <row r="118" spans="1:119" x14ac:dyDescent="0.25">
      <c r="A118">
        <f>ROW(Source!A127)</f>
        <v>127</v>
      </c>
      <c r="B118">
        <v>78397139</v>
      </c>
      <c r="C118">
        <v>78397777</v>
      </c>
      <c r="D118">
        <v>77496097</v>
      </c>
      <c r="E118">
        <v>1</v>
      </c>
      <c r="F118">
        <v>1</v>
      </c>
      <c r="G118">
        <v>1</v>
      </c>
      <c r="H118">
        <v>3</v>
      </c>
      <c r="I118" t="s">
        <v>102</v>
      </c>
      <c r="J118" t="s">
        <v>655</v>
      </c>
      <c r="K118" t="s">
        <v>103</v>
      </c>
      <c r="L118">
        <v>1339</v>
      </c>
      <c r="N118">
        <v>1007</v>
      </c>
      <c r="O118" t="s">
        <v>104</v>
      </c>
      <c r="P118" t="s">
        <v>104</v>
      </c>
      <c r="Q118">
        <v>1</v>
      </c>
      <c r="W118">
        <v>0</v>
      </c>
      <c r="X118">
        <v>-1693431674</v>
      </c>
      <c r="Y118">
        <f t="shared" si="46"/>
        <v>2.0499999999999998</v>
      </c>
      <c r="AA118">
        <v>510.62</v>
      </c>
      <c r="AB118">
        <v>0</v>
      </c>
      <c r="AC118">
        <v>0</v>
      </c>
      <c r="AD118">
        <v>0</v>
      </c>
      <c r="AE118">
        <v>340.41</v>
      </c>
      <c r="AF118">
        <v>0</v>
      </c>
      <c r="AG118">
        <v>0</v>
      </c>
      <c r="AH118">
        <v>0</v>
      </c>
      <c r="AI118">
        <v>1.5</v>
      </c>
      <c r="AJ118">
        <v>1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0</v>
      </c>
      <c r="AQ118">
        <v>1</v>
      </c>
      <c r="AR118">
        <v>0</v>
      </c>
      <c r="AS118" t="s">
        <v>332</v>
      </c>
      <c r="AT118">
        <v>2.0499999999999998</v>
      </c>
      <c r="AU118" t="s">
        <v>332</v>
      </c>
      <c r="AV118">
        <v>0</v>
      </c>
      <c r="AW118">
        <v>2</v>
      </c>
      <c r="AX118">
        <v>78397784</v>
      </c>
      <c r="AY118">
        <v>1</v>
      </c>
      <c r="AZ118">
        <v>0</v>
      </c>
      <c r="BA118">
        <v>118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697.84050000000002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697.84050000000002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v>0</v>
      </c>
      <c r="CX118">
        <f>ROUND(Y118*Source!I127,7)</f>
        <v>4.1000000000000002E-2</v>
      </c>
      <c r="CY118">
        <f t="shared" ref="CY118:CY124" si="51">AA118</f>
        <v>510.62</v>
      </c>
      <c r="CZ118">
        <f t="shared" ref="CZ118:CZ124" si="52">AE118</f>
        <v>340.41</v>
      </c>
      <c r="DA118">
        <f t="shared" ref="DA118:DA124" si="53">AI118</f>
        <v>1.5</v>
      </c>
      <c r="DB118">
        <f t="shared" si="47"/>
        <v>697.84</v>
      </c>
      <c r="DC118">
        <f t="shared" si="48"/>
        <v>0</v>
      </c>
      <c r="DD118" t="s">
        <v>332</v>
      </c>
      <c r="DE118" t="s">
        <v>332</v>
      </c>
      <c r="DF118">
        <f>ROUND(ROUND(AE118*AI118,2)*CX118,2)</f>
        <v>20.94</v>
      </c>
      <c r="DG118">
        <f t="shared" si="50"/>
        <v>0</v>
      </c>
      <c r="DH118">
        <f t="shared" si="43"/>
        <v>0</v>
      </c>
      <c r="DI118">
        <f t="shared" si="44"/>
        <v>0</v>
      </c>
      <c r="DJ118">
        <f t="shared" ref="DJ118:DJ124" si="54">DF118</f>
        <v>20.94</v>
      </c>
      <c r="DK118">
        <v>0</v>
      </c>
      <c r="DL118" t="s">
        <v>332</v>
      </c>
      <c r="DM118">
        <v>0</v>
      </c>
      <c r="DN118" t="s">
        <v>332</v>
      </c>
      <c r="DO118">
        <v>0</v>
      </c>
    </row>
    <row r="119" spans="1:119" x14ac:dyDescent="0.25">
      <c r="A119">
        <f>ROW(Source!A127)</f>
        <v>127</v>
      </c>
      <c r="B119">
        <v>78397139</v>
      </c>
      <c r="C119">
        <v>78397777</v>
      </c>
      <c r="D119">
        <v>77496113</v>
      </c>
      <c r="E119">
        <v>1</v>
      </c>
      <c r="F119">
        <v>1</v>
      </c>
      <c r="G119">
        <v>1</v>
      </c>
      <c r="H119">
        <v>3</v>
      </c>
      <c r="I119" t="s">
        <v>105</v>
      </c>
      <c r="J119" t="s">
        <v>656</v>
      </c>
      <c r="K119" t="s">
        <v>106</v>
      </c>
      <c r="L119">
        <v>1339</v>
      </c>
      <c r="N119">
        <v>1007</v>
      </c>
      <c r="O119" t="s">
        <v>104</v>
      </c>
      <c r="P119" t="s">
        <v>104</v>
      </c>
      <c r="Q119">
        <v>1</v>
      </c>
      <c r="W119">
        <v>0</v>
      </c>
      <c r="X119">
        <v>-2058989610</v>
      </c>
      <c r="Y119">
        <f t="shared" si="46"/>
        <v>2.52</v>
      </c>
      <c r="AA119">
        <v>97.44</v>
      </c>
      <c r="AB119">
        <v>0</v>
      </c>
      <c r="AC119">
        <v>0</v>
      </c>
      <c r="AD119">
        <v>0</v>
      </c>
      <c r="AE119">
        <v>114.64</v>
      </c>
      <c r="AF119">
        <v>0</v>
      </c>
      <c r="AG119">
        <v>0</v>
      </c>
      <c r="AH119">
        <v>0</v>
      </c>
      <c r="AI119">
        <v>0.85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0</v>
      </c>
      <c r="AQ119">
        <v>1</v>
      </c>
      <c r="AR119">
        <v>0</v>
      </c>
      <c r="AS119" t="s">
        <v>332</v>
      </c>
      <c r="AT119">
        <v>2.52</v>
      </c>
      <c r="AU119" t="s">
        <v>332</v>
      </c>
      <c r="AV119">
        <v>0</v>
      </c>
      <c r="AW119">
        <v>2</v>
      </c>
      <c r="AX119">
        <v>78397785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288.89280000000002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288.89280000000002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ROUND(Y119*Source!I127,7)</f>
        <v>5.04E-2</v>
      </c>
      <c r="CY119">
        <f t="shared" si="51"/>
        <v>97.44</v>
      </c>
      <c r="CZ119">
        <f t="shared" si="52"/>
        <v>114.64</v>
      </c>
      <c r="DA119">
        <f t="shared" si="53"/>
        <v>0.85</v>
      </c>
      <c r="DB119">
        <f t="shared" si="47"/>
        <v>288.89</v>
      </c>
      <c r="DC119">
        <f t="shared" si="48"/>
        <v>0</v>
      </c>
      <c r="DD119" t="s">
        <v>332</v>
      </c>
      <c r="DE119" t="s">
        <v>332</v>
      </c>
      <c r="DF119">
        <f>ROUND(ROUND(AE119*AI119,2)*CX119,2)</f>
        <v>4.91</v>
      </c>
      <c r="DG119">
        <f t="shared" si="50"/>
        <v>0</v>
      </c>
      <c r="DH119">
        <f t="shared" si="43"/>
        <v>0</v>
      </c>
      <c r="DI119">
        <f t="shared" si="44"/>
        <v>0</v>
      </c>
      <c r="DJ119">
        <f t="shared" si="54"/>
        <v>4.91</v>
      </c>
      <c r="DK119">
        <v>0</v>
      </c>
      <c r="DL119" t="s">
        <v>332</v>
      </c>
      <c r="DM119">
        <v>0</v>
      </c>
      <c r="DN119" t="s">
        <v>332</v>
      </c>
      <c r="DO119">
        <v>0</v>
      </c>
    </row>
    <row r="120" spans="1:119" x14ac:dyDescent="0.25">
      <c r="A120">
        <f>ROW(Source!A127)</f>
        <v>127</v>
      </c>
      <c r="B120">
        <v>78397139</v>
      </c>
      <c r="C120">
        <v>78397777</v>
      </c>
      <c r="D120">
        <v>77498725</v>
      </c>
      <c r="E120">
        <v>1</v>
      </c>
      <c r="F120">
        <v>1</v>
      </c>
      <c r="G120">
        <v>1</v>
      </c>
      <c r="H120">
        <v>3</v>
      </c>
      <c r="I120" t="s">
        <v>107</v>
      </c>
      <c r="J120" t="s">
        <v>657</v>
      </c>
      <c r="K120" t="s">
        <v>108</v>
      </c>
      <c r="L120">
        <v>1348</v>
      </c>
      <c r="N120">
        <v>1009</v>
      </c>
      <c r="O120" t="s">
        <v>87</v>
      </c>
      <c r="P120" t="s">
        <v>87</v>
      </c>
      <c r="Q120">
        <v>1000</v>
      </c>
      <c r="W120">
        <v>0</v>
      </c>
      <c r="X120">
        <v>651198489</v>
      </c>
      <c r="Y120">
        <f t="shared" si="46"/>
        <v>1E-3</v>
      </c>
      <c r="AA120">
        <v>108956.83</v>
      </c>
      <c r="AB120">
        <v>0</v>
      </c>
      <c r="AC120">
        <v>0</v>
      </c>
      <c r="AD120">
        <v>0</v>
      </c>
      <c r="AE120">
        <v>97282.880000000005</v>
      </c>
      <c r="AF120">
        <v>0</v>
      </c>
      <c r="AG120">
        <v>0</v>
      </c>
      <c r="AH120">
        <v>0</v>
      </c>
      <c r="AI120">
        <v>1.1200000000000001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0</v>
      </c>
      <c r="AQ120">
        <v>1</v>
      </c>
      <c r="AR120">
        <v>0</v>
      </c>
      <c r="AS120" t="s">
        <v>332</v>
      </c>
      <c r="AT120">
        <v>1E-3</v>
      </c>
      <c r="AU120" t="s">
        <v>332</v>
      </c>
      <c r="AV120">
        <v>0</v>
      </c>
      <c r="AW120">
        <v>2</v>
      </c>
      <c r="AX120">
        <v>78397786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97.282880000000006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97.282880000000006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ROUND(Y120*Source!I127,7)</f>
        <v>2.0000000000000002E-5</v>
      </c>
      <c r="CY120">
        <f t="shared" si="51"/>
        <v>108956.83</v>
      </c>
      <c r="CZ120">
        <f t="shared" si="52"/>
        <v>97282.880000000005</v>
      </c>
      <c r="DA120">
        <f t="shared" si="53"/>
        <v>1.1200000000000001</v>
      </c>
      <c r="DB120">
        <f t="shared" si="47"/>
        <v>97.28</v>
      </c>
      <c r="DC120">
        <f t="shared" si="48"/>
        <v>0</v>
      </c>
      <c r="DD120" t="s">
        <v>332</v>
      </c>
      <c r="DE120" t="s">
        <v>332</v>
      </c>
      <c r="DF120">
        <f>ROUND(ROUND(AE120*AI120,2)*CX120,2)</f>
        <v>2.1800000000000002</v>
      </c>
      <c r="DG120">
        <f t="shared" si="50"/>
        <v>0</v>
      </c>
      <c r="DH120">
        <f t="shared" si="43"/>
        <v>0</v>
      </c>
      <c r="DI120">
        <f t="shared" si="44"/>
        <v>0</v>
      </c>
      <c r="DJ120">
        <f t="shared" si="54"/>
        <v>2.1800000000000002</v>
      </c>
      <c r="DK120">
        <v>0</v>
      </c>
      <c r="DL120" t="s">
        <v>332</v>
      </c>
      <c r="DM120">
        <v>0</v>
      </c>
      <c r="DN120" t="s">
        <v>332</v>
      </c>
      <c r="DO120">
        <v>0</v>
      </c>
    </row>
    <row r="121" spans="1:119" x14ac:dyDescent="0.25">
      <c r="A121">
        <f>ROW(Source!A127)</f>
        <v>127</v>
      </c>
      <c r="B121">
        <v>78397139</v>
      </c>
      <c r="C121">
        <v>78397777</v>
      </c>
      <c r="D121">
        <v>77498850</v>
      </c>
      <c r="E121">
        <v>1</v>
      </c>
      <c r="F121">
        <v>1</v>
      </c>
      <c r="G121">
        <v>1</v>
      </c>
      <c r="H121">
        <v>3</v>
      </c>
      <c r="I121" t="s">
        <v>109</v>
      </c>
      <c r="J121" t="s">
        <v>658</v>
      </c>
      <c r="K121" t="s">
        <v>110</v>
      </c>
      <c r="L121">
        <v>1346</v>
      </c>
      <c r="N121">
        <v>1009</v>
      </c>
      <c r="O121" t="s">
        <v>111</v>
      </c>
      <c r="P121" t="s">
        <v>111</v>
      </c>
      <c r="Q121">
        <v>1</v>
      </c>
      <c r="W121">
        <v>0</v>
      </c>
      <c r="X121">
        <v>-163259778</v>
      </c>
      <c r="Y121">
        <f t="shared" si="46"/>
        <v>6</v>
      </c>
      <c r="AA121">
        <v>121.39</v>
      </c>
      <c r="AB121">
        <v>0</v>
      </c>
      <c r="AC121">
        <v>0</v>
      </c>
      <c r="AD121">
        <v>0</v>
      </c>
      <c r="AE121">
        <v>155.63</v>
      </c>
      <c r="AF121">
        <v>0</v>
      </c>
      <c r="AG121">
        <v>0</v>
      </c>
      <c r="AH121">
        <v>0</v>
      </c>
      <c r="AI121">
        <v>0.78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0</v>
      </c>
      <c r="AQ121">
        <v>1</v>
      </c>
      <c r="AR121">
        <v>0</v>
      </c>
      <c r="AS121" t="s">
        <v>332</v>
      </c>
      <c r="AT121">
        <v>6</v>
      </c>
      <c r="AU121" t="s">
        <v>332</v>
      </c>
      <c r="AV121">
        <v>0</v>
      </c>
      <c r="AW121">
        <v>2</v>
      </c>
      <c r="AX121">
        <v>78397787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933.78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933.78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ROUND(Y121*Source!I127,7)</f>
        <v>0.12</v>
      </c>
      <c r="CY121">
        <f t="shared" si="51"/>
        <v>121.39</v>
      </c>
      <c r="CZ121">
        <f t="shared" si="52"/>
        <v>155.63</v>
      </c>
      <c r="DA121">
        <f t="shared" si="53"/>
        <v>0.78</v>
      </c>
      <c r="DB121">
        <f t="shared" si="47"/>
        <v>933.78</v>
      </c>
      <c r="DC121">
        <f t="shared" si="48"/>
        <v>0</v>
      </c>
      <c r="DD121" t="s">
        <v>332</v>
      </c>
      <c r="DE121" t="s">
        <v>332</v>
      </c>
      <c r="DF121">
        <f>ROUND(ROUND(AE121*AI121,2)*CX121,2)</f>
        <v>14.57</v>
      </c>
      <c r="DG121">
        <f t="shared" si="50"/>
        <v>0</v>
      </c>
      <c r="DH121">
        <f t="shared" si="43"/>
        <v>0</v>
      </c>
      <c r="DI121">
        <f t="shared" si="44"/>
        <v>0</v>
      </c>
      <c r="DJ121">
        <f t="shared" si="54"/>
        <v>14.57</v>
      </c>
      <c r="DK121">
        <v>0</v>
      </c>
      <c r="DL121" t="s">
        <v>332</v>
      </c>
      <c r="DM121">
        <v>0</v>
      </c>
      <c r="DN121" t="s">
        <v>332</v>
      </c>
      <c r="DO121">
        <v>0</v>
      </c>
    </row>
    <row r="122" spans="1:119" x14ac:dyDescent="0.25">
      <c r="A122">
        <f>ROW(Source!A127)</f>
        <v>127</v>
      </c>
      <c r="B122">
        <v>78397139</v>
      </c>
      <c r="C122">
        <v>78397777</v>
      </c>
      <c r="D122">
        <v>77534563</v>
      </c>
      <c r="E122">
        <v>1</v>
      </c>
      <c r="F122">
        <v>1</v>
      </c>
      <c r="G122">
        <v>1</v>
      </c>
      <c r="H122">
        <v>3</v>
      </c>
      <c r="I122" t="s">
        <v>532</v>
      </c>
      <c r="J122" t="s">
        <v>534</v>
      </c>
      <c r="K122" t="s">
        <v>533</v>
      </c>
      <c r="L122">
        <v>1301</v>
      </c>
      <c r="N122">
        <v>1003</v>
      </c>
      <c r="O122" t="s">
        <v>69</v>
      </c>
      <c r="P122" t="s">
        <v>69</v>
      </c>
      <c r="Q122">
        <v>1</v>
      </c>
      <c r="W122">
        <v>0</v>
      </c>
      <c r="X122">
        <v>378274165</v>
      </c>
      <c r="Y122">
        <f t="shared" si="46"/>
        <v>100</v>
      </c>
      <c r="AA122">
        <v>443.44</v>
      </c>
      <c r="AB122">
        <v>0</v>
      </c>
      <c r="AC122">
        <v>0</v>
      </c>
      <c r="AD122">
        <v>0</v>
      </c>
      <c r="AE122">
        <v>554.29999999999995</v>
      </c>
      <c r="AF122">
        <v>0</v>
      </c>
      <c r="AG122">
        <v>0</v>
      </c>
      <c r="AH122">
        <v>0</v>
      </c>
      <c r="AI122">
        <v>0.8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332</v>
      </c>
      <c r="AT122">
        <v>100</v>
      </c>
      <c r="AU122" t="s">
        <v>332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332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ROUND(Y122*Source!I127,7)</f>
        <v>2</v>
      </c>
      <c r="CY122">
        <f t="shared" si="51"/>
        <v>443.44</v>
      </c>
      <c r="CZ122">
        <f t="shared" si="52"/>
        <v>554.29999999999995</v>
      </c>
      <c r="DA122">
        <f t="shared" si="53"/>
        <v>0.8</v>
      </c>
      <c r="DB122">
        <f t="shared" si="47"/>
        <v>55430</v>
      </c>
      <c r="DC122">
        <f t="shared" si="48"/>
        <v>0</v>
      </c>
      <c r="DD122" t="s">
        <v>332</v>
      </c>
      <c r="DE122" t="s">
        <v>332</v>
      </c>
      <c r="DF122">
        <f>ROUND(ROUND(AE122*AI122,2)*CX122,2)</f>
        <v>886.88</v>
      </c>
      <c r="DG122">
        <f t="shared" si="50"/>
        <v>0</v>
      </c>
      <c r="DH122">
        <f t="shared" si="43"/>
        <v>0</v>
      </c>
      <c r="DI122">
        <f t="shared" si="44"/>
        <v>0</v>
      </c>
      <c r="DJ122">
        <f t="shared" si="54"/>
        <v>886.88</v>
      </c>
      <c r="DK122">
        <v>0</v>
      </c>
      <c r="DL122" t="s">
        <v>332</v>
      </c>
      <c r="DM122">
        <v>0</v>
      </c>
      <c r="DN122" t="s">
        <v>332</v>
      </c>
      <c r="DO122">
        <v>0</v>
      </c>
    </row>
    <row r="123" spans="1:119" x14ac:dyDescent="0.25">
      <c r="A123">
        <f>ROW(Source!A127)</f>
        <v>127</v>
      </c>
      <c r="B123">
        <v>78397139</v>
      </c>
      <c r="C123">
        <v>78397777</v>
      </c>
      <c r="D123">
        <v>77537013</v>
      </c>
      <c r="E123">
        <v>1</v>
      </c>
      <c r="F123">
        <v>1</v>
      </c>
      <c r="G123">
        <v>1</v>
      </c>
      <c r="H123">
        <v>3</v>
      </c>
      <c r="I123" t="s">
        <v>540</v>
      </c>
      <c r="J123" t="s">
        <v>542</v>
      </c>
      <c r="K123" t="s">
        <v>541</v>
      </c>
      <c r="L123">
        <v>1371</v>
      </c>
      <c r="N123">
        <v>1013</v>
      </c>
      <c r="O123" t="s">
        <v>366</v>
      </c>
      <c r="P123" t="s">
        <v>366</v>
      </c>
      <c r="Q123">
        <v>1</v>
      </c>
      <c r="W123">
        <v>0</v>
      </c>
      <c r="X123">
        <v>608645330</v>
      </c>
      <c r="Y123">
        <f t="shared" si="46"/>
        <v>50</v>
      </c>
      <c r="AA123">
        <v>293.27</v>
      </c>
      <c r="AB123">
        <v>0</v>
      </c>
      <c r="AC123">
        <v>0</v>
      </c>
      <c r="AD123">
        <v>0</v>
      </c>
      <c r="AE123">
        <v>293.27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332</v>
      </c>
      <c r="AT123">
        <v>50</v>
      </c>
      <c r="AU123" t="s">
        <v>332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332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ROUND(Y123*Source!I127,7)</f>
        <v>1</v>
      </c>
      <c r="CY123">
        <f t="shared" si="51"/>
        <v>293.27</v>
      </c>
      <c r="CZ123">
        <f t="shared" si="52"/>
        <v>293.27</v>
      </c>
      <c r="DA123">
        <f t="shared" si="53"/>
        <v>1</v>
      </c>
      <c r="DB123">
        <f t="shared" si="47"/>
        <v>14663.5</v>
      </c>
      <c r="DC123">
        <f t="shared" si="48"/>
        <v>0</v>
      </c>
      <c r="DD123" t="s">
        <v>332</v>
      </c>
      <c r="DE123" t="s">
        <v>332</v>
      </c>
      <c r="DF123">
        <f>ROUND(ROUND(AE123,2)*CX123,2)</f>
        <v>293.27</v>
      </c>
      <c r="DG123">
        <f t="shared" si="50"/>
        <v>0</v>
      </c>
      <c r="DH123">
        <f t="shared" si="43"/>
        <v>0</v>
      </c>
      <c r="DI123">
        <f t="shared" si="44"/>
        <v>0</v>
      </c>
      <c r="DJ123">
        <f t="shared" si="54"/>
        <v>293.27</v>
      </c>
      <c r="DK123">
        <v>1</v>
      </c>
      <c r="DL123" t="s">
        <v>332</v>
      </c>
      <c r="DM123">
        <v>0</v>
      </c>
      <c r="DN123" t="s">
        <v>332</v>
      </c>
      <c r="DO123">
        <v>0</v>
      </c>
    </row>
    <row r="124" spans="1:119" x14ac:dyDescent="0.25">
      <c r="A124">
        <f>ROW(Source!A127)</f>
        <v>127</v>
      </c>
      <c r="B124">
        <v>78397139</v>
      </c>
      <c r="C124">
        <v>78397777</v>
      </c>
      <c r="D124">
        <v>77538719</v>
      </c>
      <c r="E124">
        <v>1</v>
      </c>
      <c r="F124">
        <v>1</v>
      </c>
      <c r="G124">
        <v>1</v>
      </c>
      <c r="H124">
        <v>3</v>
      </c>
      <c r="I124" t="s">
        <v>536</v>
      </c>
      <c r="J124" t="s">
        <v>538</v>
      </c>
      <c r="K124" t="s">
        <v>537</v>
      </c>
      <c r="L124">
        <v>1371</v>
      </c>
      <c r="N124">
        <v>1013</v>
      </c>
      <c r="O124" t="s">
        <v>366</v>
      </c>
      <c r="P124" t="s">
        <v>366</v>
      </c>
      <c r="Q124">
        <v>1</v>
      </c>
      <c r="W124">
        <v>0</v>
      </c>
      <c r="X124">
        <v>702153022</v>
      </c>
      <c r="Y124">
        <f t="shared" si="46"/>
        <v>100</v>
      </c>
      <c r="AA124">
        <v>150</v>
      </c>
      <c r="AB124">
        <v>0</v>
      </c>
      <c r="AC124">
        <v>0</v>
      </c>
      <c r="AD124">
        <v>0</v>
      </c>
      <c r="AE124">
        <v>120.97</v>
      </c>
      <c r="AF124">
        <v>0</v>
      </c>
      <c r="AG124">
        <v>0</v>
      </c>
      <c r="AH124">
        <v>0</v>
      </c>
      <c r="AI124">
        <v>1.24</v>
      </c>
      <c r="AJ124">
        <v>1</v>
      </c>
      <c r="AK124">
        <v>1</v>
      </c>
      <c r="AL124">
        <v>1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 t="s">
        <v>332</v>
      </c>
      <c r="AT124">
        <v>100</v>
      </c>
      <c r="AU124" t="s">
        <v>332</v>
      </c>
      <c r="AV124">
        <v>0</v>
      </c>
      <c r="AW124">
        <v>1</v>
      </c>
      <c r="AX124">
        <v>-1</v>
      </c>
      <c r="AY124">
        <v>0</v>
      </c>
      <c r="AZ124">
        <v>0</v>
      </c>
      <c r="BA124" t="s">
        <v>332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ROUND(Y124*Source!I127,7)</f>
        <v>2</v>
      </c>
      <c r="CY124">
        <f t="shared" si="51"/>
        <v>150</v>
      </c>
      <c r="CZ124">
        <f t="shared" si="52"/>
        <v>120.97</v>
      </c>
      <c r="DA124">
        <f t="shared" si="53"/>
        <v>1.24</v>
      </c>
      <c r="DB124">
        <f t="shared" si="47"/>
        <v>12097</v>
      </c>
      <c r="DC124">
        <f t="shared" si="48"/>
        <v>0</v>
      </c>
      <c r="DD124" t="s">
        <v>332</v>
      </c>
      <c r="DE124" t="s">
        <v>332</v>
      </c>
      <c r="DF124">
        <f>ROUND(ROUND(AE124*AI124,2)*CX124,2)</f>
        <v>300</v>
      </c>
      <c r="DG124">
        <f t="shared" si="50"/>
        <v>0</v>
      </c>
      <c r="DH124">
        <f t="shared" si="43"/>
        <v>0</v>
      </c>
      <c r="DI124">
        <f t="shared" si="44"/>
        <v>0</v>
      </c>
      <c r="DJ124">
        <f t="shared" si="54"/>
        <v>300</v>
      </c>
      <c r="DK124">
        <v>0</v>
      </c>
      <c r="DL124" t="s">
        <v>332</v>
      </c>
      <c r="DM124">
        <v>0</v>
      </c>
      <c r="DN124" t="s">
        <v>332</v>
      </c>
      <c r="DO124">
        <v>0</v>
      </c>
    </row>
    <row r="125" spans="1:119" x14ac:dyDescent="0.25">
      <c r="A125">
        <f>ROW(Source!A131)</f>
        <v>131</v>
      </c>
      <c r="B125">
        <v>78397139</v>
      </c>
      <c r="C125">
        <v>78397800</v>
      </c>
      <c r="D125">
        <v>28082212</v>
      </c>
      <c r="E125">
        <v>112</v>
      </c>
      <c r="F125">
        <v>1</v>
      </c>
      <c r="G125">
        <v>1</v>
      </c>
      <c r="H125">
        <v>1</v>
      </c>
      <c r="I125" t="s">
        <v>117</v>
      </c>
      <c r="J125" t="s">
        <v>332</v>
      </c>
      <c r="K125" t="s">
        <v>118</v>
      </c>
      <c r="L125">
        <v>1191</v>
      </c>
      <c r="N125">
        <v>1013</v>
      </c>
      <c r="O125" t="s">
        <v>31</v>
      </c>
      <c r="P125" t="s">
        <v>31</v>
      </c>
      <c r="Q125">
        <v>1</v>
      </c>
      <c r="W125">
        <v>0</v>
      </c>
      <c r="X125">
        <v>1521243167</v>
      </c>
      <c r="Y125">
        <f>(AT125*ROUND((1.15*2),7))</f>
        <v>12.212999999999999</v>
      </c>
      <c r="AA125">
        <v>0</v>
      </c>
      <c r="AB125">
        <v>0</v>
      </c>
      <c r="AC125">
        <v>0</v>
      </c>
      <c r="AD125">
        <v>797.48</v>
      </c>
      <c r="AE125">
        <v>0</v>
      </c>
      <c r="AF125">
        <v>0</v>
      </c>
      <c r="AG125">
        <v>0</v>
      </c>
      <c r="AH125">
        <v>797.48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332</v>
      </c>
      <c r="AT125">
        <v>5.31</v>
      </c>
      <c r="AU125" t="s">
        <v>388</v>
      </c>
      <c r="AV125">
        <v>1</v>
      </c>
      <c r="AW125">
        <v>2</v>
      </c>
      <c r="AX125">
        <v>78397809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4234.6188000000002</v>
      </c>
      <c r="BN125">
        <v>5.31</v>
      </c>
      <c r="BO125">
        <v>0</v>
      </c>
      <c r="BP125">
        <v>1</v>
      </c>
      <c r="BQ125">
        <v>0</v>
      </c>
      <c r="BR125">
        <v>0</v>
      </c>
      <c r="BS125">
        <v>0</v>
      </c>
      <c r="BT125">
        <v>9739.6232400000008</v>
      </c>
      <c r="BU125">
        <v>12.212999999999999</v>
      </c>
      <c r="BV125">
        <v>0</v>
      </c>
      <c r="BW125">
        <v>1</v>
      </c>
      <c r="CU125">
        <f>ROUND(AT125*Source!I131*AH125*AL125,2)</f>
        <v>20.239999999999998</v>
      </c>
      <c r="CV125">
        <f>ROUND(Y125*Source!I131,7)</f>
        <v>5.8378100000000002E-2</v>
      </c>
      <c r="CW125">
        <v>0</v>
      </c>
      <c r="CX125">
        <f>ROUND(Y125*Source!I131,7)</f>
        <v>5.8378100000000002E-2</v>
      </c>
      <c r="CY125">
        <f>AD125</f>
        <v>797.48</v>
      </c>
      <c r="CZ125">
        <f>AH125</f>
        <v>797.48</v>
      </c>
      <c r="DA125">
        <f>AL125</f>
        <v>1</v>
      </c>
      <c r="DB125">
        <f>ROUND((ROUND(AT125*CZ125,2)*ROUND((1.15*2),7)),6)</f>
        <v>9739.6260000000002</v>
      </c>
      <c r="DC125">
        <f>ROUND((ROUND(AT125*AG125,2)*ROUND((1.15*2),7)),6)</f>
        <v>0</v>
      </c>
      <c r="DD125" t="s">
        <v>332</v>
      </c>
      <c r="DE125" t="s">
        <v>332</v>
      </c>
      <c r="DF125">
        <f t="shared" ref="DF125:DF130" si="55">ROUND(ROUND(AE125,2)*CX125,2)</f>
        <v>0</v>
      </c>
      <c r="DG125">
        <f t="shared" si="50"/>
        <v>0</v>
      </c>
      <c r="DH125">
        <f t="shared" si="43"/>
        <v>0</v>
      </c>
      <c r="DI125">
        <f t="shared" si="44"/>
        <v>46.56</v>
      </c>
      <c r="DJ125">
        <f>DI125</f>
        <v>46.56</v>
      </c>
      <c r="DK125">
        <v>1</v>
      </c>
      <c r="DL125" t="s">
        <v>332</v>
      </c>
      <c r="DM125">
        <v>0</v>
      </c>
      <c r="DN125" t="s">
        <v>332</v>
      </c>
      <c r="DO125">
        <v>0</v>
      </c>
    </row>
    <row r="126" spans="1:119" x14ac:dyDescent="0.25">
      <c r="A126">
        <f>ROW(Source!A131)</f>
        <v>131</v>
      </c>
      <c r="B126">
        <v>78397139</v>
      </c>
      <c r="C126">
        <v>78397800</v>
      </c>
      <c r="D126">
        <v>28074654</v>
      </c>
      <c r="E126">
        <v>112</v>
      </c>
      <c r="F126">
        <v>1</v>
      </c>
      <c r="G126">
        <v>1</v>
      </c>
      <c r="H126">
        <v>1</v>
      </c>
      <c r="I126" t="s">
        <v>647</v>
      </c>
      <c r="J126" t="s">
        <v>332</v>
      </c>
      <c r="K126" t="s">
        <v>648</v>
      </c>
      <c r="L126">
        <v>1191</v>
      </c>
      <c r="N126">
        <v>1013</v>
      </c>
      <c r="O126" t="s">
        <v>31</v>
      </c>
      <c r="P126" t="s">
        <v>31</v>
      </c>
      <c r="Q126">
        <v>1</v>
      </c>
      <c r="W126">
        <v>0</v>
      </c>
      <c r="X126">
        <v>-1417349443</v>
      </c>
      <c r="Y126">
        <f>(AT126*ROUND((1.25*2),7))</f>
        <v>0.05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332</v>
      </c>
      <c r="AT126">
        <v>0.02</v>
      </c>
      <c r="AU126" t="s">
        <v>387</v>
      </c>
      <c r="AV126">
        <v>2</v>
      </c>
      <c r="AW126">
        <v>2</v>
      </c>
      <c r="AX126">
        <v>78397810</v>
      </c>
      <c r="AY126">
        <v>1</v>
      </c>
      <c r="AZ126">
        <v>0</v>
      </c>
      <c r="BA126">
        <v>126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ROUND(Y126*Source!I131,7)</f>
        <v>2.3900000000000001E-4</v>
      </c>
      <c r="CY126">
        <f>AD126</f>
        <v>0</v>
      </c>
      <c r="CZ126">
        <f>AH126</f>
        <v>0</v>
      </c>
      <c r="DA126">
        <f>AL126</f>
        <v>1</v>
      </c>
      <c r="DB126">
        <f>ROUND((ROUND(AT126*CZ126,2)*ROUND((1.25*2),7)),6)</f>
        <v>0</v>
      </c>
      <c r="DC126">
        <f>ROUND((ROUND(AT126*AG126,2)*ROUND((1.25*2),7)),6)</f>
        <v>0</v>
      </c>
      <c r="DD126" t="s">
        <v>332</v>
      </c>
      <c r="DE126" t="s">
        <v>332</v>
      </c>
      <c r="DF126">
        <f t="shared" si="55"/>
        <v>0</v>
      </c>
      <c r="DG126">
        <f t="shared" si="50"/>
        <v>0</v>
      </c>
      <c r="DH126">
        <f t="shared" si="43"/>
        <v>0</v>
      </c>
      <c r="DI126">
        <f t="shared" si="44"/>
        <v>0</v>
      </c>
      <c r="DJ126">
        <f>DI126</f>
        <v>0</v>
      </c>
      <c r="DK126">
        <v>0</v>
      </c>
      <c r="DL126" t="s">
        <v>332</v>
      </c>
      <c r="DM126">
        <v>0</v>
      </c>
      <c r="DN126" t="s">
        <v>332</v>
      </c>
      <c r="DO126">
        <v>0</v>
      </c>
    </row>
    <row r="127" spans="1:119" x14ac:dyDescent="0.25">
      <c r="A127">
        <f>ROW(Source!A131)</f>
        <v>131</v>
      </c>
      <c r="B127">
        <v>78397139</v>
      </c>
      <c r="C127">
        <v>78397800</v>
      </c>
      <c r="D127">
        <v>70185919</v>
      </c>
      <c r="E127">
        <v>1</v>
      </c>
      <c r="F127">
        <v>1</v>
      </c>
      <c r="G127">
        <v>1</v>
      </c>
      <c r="H127">
        <v>2</v>
      </c>
      <c r="I127" t="s">
        <v>119</v>
      </c>
      <c r="J127" t="s">
        <v>659</v>
      </c>
      <c r="K127" t="s">
        <v>120</v>
      </c>
      <c r="L127">
        <v>1368</v>
      </c>
      <c r="N127">
        <v>1011</v>
      </c>
      <c r="O127" t="s">
        <v>59</v>
      </c>
      <c r="P127" t="s">
        <v>59</v>
      </c>
      <c r="Q127">
        <v>1</v>
      </c>
      <c r="W127">
        <v>0</v>
      </c>
      <c r="X127">
        <v>-430580475</v>
      </c>
      <c r="Y127">
        <f>(AT127*ROUND((1.25*2),7))</f>
        <v>2.5000000000000001E-2</v>
      </c>
      <c r="AA127">
        <v>0</v>
      </c>
      <c r="AB127">
        <v>9.8000000000000007</v>
      </c>
      <c r="AC127">
        <v>0</v>
      </c>
      <c r="AD127">
        <v>0</v>
      </c>
      <c r="AE127">
        <v>0</v>
      </c>
      <c r="AF127">
        <v>6.62</v>
      </c>
      <c r="AG127">
        <v>0</v>
      </c>
      <c r="AH127">
        <v>0</v>
      </c>
      <c r="AI127">
        <v>1</v>
      </c>
      <c r="AJ127">
        <v>1.48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332</v>
      </c>
      <c r="AT127">
        <v>0.01</v>
      </c>
      <c r="AU127" t="s">
        <v>387</v>
      </c>
      <c r="AV127">
        <v>1</v>
      </c>
      <c r="AW127">
        <v>2</v>
      </c>
      <c r="AX127">
        <v>78397811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6.6199999999999995E-2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0</v>
      </c>
      <c r="BR127">
        <v>0.16550000000000001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f>ROUND(Y127*Source!I131*DO127,7)</f>
        <v>0</v>
      </c>
      <c r="CX127">
        <f>ROUND(Y127*Source!I131,7)</f>
        <v>1.195E-4</v>
      </c>
      <c r="CY127">
        <f>AB127</f>
        <v>9.8000000000000007</v>
      </c>
      <c r="CZ127">
        <f>AF127</f>
        <v>6.62</v>
      </c>
      <c r="DA127">
        <f>AJ127</f>
        <v>1.48</v>
      </c>
      <c r="DB127">
        <f>ROUND((ROUND(AT127*CZ127,2)*ROUND((1.25*2),7)),6)</f>
        <v>0.17499999999999999</v>
      </c>
      <c r="DC127">
        <f>ROUND((ROUND(AT127*AG127,2)*ROUND((1.25*2),7)),6)</f>
        <v>0</v>
      </c>
      <c r="DD127" t="s">
        <v>332</v>
      </c>
      <c r="DE127" t="s">
        <v>332</v>
      </c>
      <c r="DF127">
        <f t="shared" si="55"/>
        <v>0</v>
      </c>
      <c r="DG127">
        <f>ROUND(ROUND(AF127*AJ127,2)*CX127,2)</f>
        <v>0</v>
      </c>
      <c r="DH127">
        <f t="shared" si="43"/>
        <v>0</v>
      </c>
      <c r="DI127">
        <f t="shared" si="44"/>
        <v>0</v>
      </c>
      <c r="DJ127">
        <f>DG127+DH127</f>
        <v>0</v>
      </c>
      <c r="DK127">
        <v>0</v>
      </c>
      <c r="DL127" t="s">
        <v>332</v>
      </c>
      <c r="DM127">
        <v>0</v>
      </c>
      <c r="DN127" t="s">
        <v>332</v>
      </c>
      <c r="DO127">
        <v>0</v>
      </c>
    </row>
    <row r="128" spans="1:119" x14ac:dyDescent="0.25">
      <c r="A128">
        <f>ROW(Source!A131)</f>
        <v>131</v>
      </c>
      <c r="B128">
        <v>78397139</v>
      </c>
      <c r="C128">
        <v>78397800</v>
      </c>
      <c r="D128">
        <v>70185936</v>
      </c>
      <c r="E128">
        <v>1</v>
      </c>
      <c r="F128">
        <v>1</v>
      </c>
      <c r="G128">
        <v>1</v>
      </c>
      <c r="H128">
        <v>2</v>
      </c>
      <c r="I128" t="s">
        <v>121</v>
      </c>
      <c r="J128" t="s">
        <v>660</v>
      </c>
      <c r="K128" t="s">
        <v>122</v>
      </c>
      <c r="L128">
        <v>1368</v>
      </c>
      <c r="N128">
        <v>1011</v>
      </c>
      <c r="O128" t="s">
        <v>59</v>
      </c>
      <c r="P128" t="s">
        <v>59</v>
      </c>
      <c r="Q128">
        <v>1</v>
      </c>
      <c r="W128">
        <v>0</v>
      </c>
      <c r="X128">
        <v>-318968462</v>
      </c>
      <c r="Y128">
        <f>(AT128*ROUND((1.25*2),7))</f>
        <v>2.5000000000000001E-2</v>
      </c>
      <c r="AA128">
        <v>0</v>
      </c>
      <c r="AB128">
        <v>1593.71</v>
      </c>
      <c r="AC128">
        <v>829.81</v>
      </c>
      <c r="AD128">
        <v>0</v>
      </c>
      <c r="AE128">
        <v>0</v>
      </c>
      <c r="AF128">
        <v>1593.71</v>
      </c>
      <c r="AG128">
        <v>829.81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332</v>
      </c>
      <c r="AT128">
        <v>0.01</v>
      </c>
      <c r="AU128" t="s">
        <v>387</v>
      </c>
      <c r="AV128">
        <v>1</v>
      </c>
      <c r="AW128">
        <v>2</v>
      </c>
      <c r="AX128">
        <v>78397812</v>
      </c>
      <c r="AY128">
        <v>1</v>
      </c>
      <c r="AZ128">
        <v>0</v>
      </c>
      <c r="BA128">
        <v>128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15.937099999999999</v>
      </c>
      <c r="BL128">
        <v>8.2980999999999998</v>
      </c>
      <c r="BM128">
        <v>0</v>
      </c>
      <c r="BN128">
        <v>0</v>
      </c>
      <c r="BO128">
        <v>0.01</v>
      </c>
      <c r="BP128">
        <v>1</v>
      </c>
      <c r="BQ128">
        <v>0</v>
      </c>
      <c r="BR128">
        <v>39.842750000000002</v>
      </c>
      <c r="BS128">
        <v>20.745249999999999</v>
      </c>
      <c r="BT128">
        <v>0</v>
      </c>
      <c r="BU128">
        <v>0</v>
      </c>
      <c r="BV128">
        <v>2.5000000000000001E-2</v>
      </c>
      <c r="BW128">
        <v>1</v>
      </c>
      <c r="CV128">
        <v>0</v>
      </c>
      <c r="CW128">
        <f>ROUND(Y128*Source!I131*DO128,7)</f>
        <v>1.195E-4</v>
      </c>
      <c r="CX128">
        <f>ROUND(Y128*Source!I131,7)</f>
        <v>1.195E-4</v>
      </c>
      <c r="CY128">
        <f>AB128</f>
        <v>1593.71</v>
      </c>
      <c r="CZ128">
        <f>AF128</f>
        <v>1593.71</v>
      </c>
      <c r="DA128">
        <f>AJ128</f>
        <v>1</v>
      </c>
      <c r="DB128">
        <f>ROUND((ROUND(AT128*CZ128,2)*ROUND((1.25*2),7)),6)</f>
        <v>39.85</v>
      </c>
      <c r="DC128">
        <f>ROUND((ROUND(AT128*AG128,2)*ROUND((1.25*2),7)),6)</f>
        <v>20.75</v>
      </c>
      <c r="DD128" t="s">
        <v>332</v>
      </c>
      <c r="DE128" t="s">
        <v>332</v>
      </c>
      <c r="DF128">
        <f t="shared" si="55"/>
        <v>0</v>
      </c>
      <c r="DG128">
        <f>ROUND(ROUND(AF128,2)*CX128,2)</f>
        <v>0.19</v>
      </c>
      <c r="DH128">
        <f t="shared" si="43"/>
        <v>0.1</v>
      </c>
      <c r="DI128">
        <f t="shared" si="44"/>
        <v>0</v>
      </c>
      <c r="DJ128">
        <f>DG128+DH128</f>
        <v>0.28999999999999998</v>
      </c>
      <c r="DK128">
        <v>1</v>
      </c>
      <c r="DL128" t="s">
        <v>123</v>
      </c>
      <c r="DM128">
        <v>5</v>
      </c>
      <c r="DN128" t="s">
        <v>31</v>
      </c>
      <c r="DO128">
        <v>1</v>
      </c>
    </row>
    <row r="129" spans="1:119" x14ac:dyDescent="0.25">
      <c r="A129">
        <f>ROW(Source!A131)</f>
        <v>131</v>
      </c>
      <c r="B129">
        <v>78397139</v>
      </c>
      <c r="C129">
        <v>78397800</v>
      </c>
      <c r="D129">
        <v>70186665</v>
      </c>
      <c r="E129">
        <v>1</v>
      </c>
      <c r="F129">
        <v>1</v>
      </c>
      <c r="G129">
        <v>1</v>
      </c>
      <c r="H129">
        <v>2</v>
      </c>
      <c r="I129" t="s">
        <v>62</v>
      </c>
      <c r="J129" t="s">
        <v>650</v>
      </c>
      <c r="K129" t="s">
        <v>63</v>
      </c>
      <c r="L129">
        <v>1368</v>
      </c>
      <c r="N129">
        <v>1011</v>
      </c>
      <c r="O129" t="s">
        <v>59</v>
      </c>
      <c r="P129" t="s">
        <v>59</v>
      </c>
      <c r="Q129">
        <v>1</v>
      </c>
      <c r="W129">
        <v>0</v>
      </c>
      <c r="X129">
        <v>1032761012</v>
      </c>
      <c r="Y129">
        <f>(AT129*ROUND((1.25*2),7))</f>
        <v>2.5000000000000001E-2</v>
      </c>
      <c r="AA129">
        <v>0</v>
      </c>
      <c r="AB129">
        <v>643.29</v>
      </c>
      <c r="AC129">
        <v>722.05</v>
      </c>
      <c r="AD129">
        <v>0</v>
      </c>
      <c r="AE129">
        <v>0</v>
      </c>
      <c r="AF129">
        <v>643.29</v>
      </c>
      <c r="AG129">
        <v>722.05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332</v>
      </c>
      <c r="AT129">
        <v>0.01</v>
      </c>
      <c r="AU129" t="s">
        <v>387</v>
      </c>
      <c r="AV129">
        <v>1</v>
      </c>
      <c r="AW129">
        <v>2</v>
      </c>
      <c r="AX129">
        <v>78397813</v>
      </c>
      <c r="AY129">
        <v>1</v>
      </c>
      <c r="AZ129">
        <v>0</v>
      </c>
      <c r="BA129">
        <v>129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6.4329000000000001</v>
      </c>
      <c r="BL129">
        <v>7.2205000000000004</v>
      </c>
      <c r="BM129">
        <v>0</v>
      </c>
      <c r="BN129">
        <v>0</v>
      </c>
      <c r="BO129">
        <v>0.01</v>
      </c>
      <c r="BP129">
        <v>1</v>
      </c>
      <c r="BQ129">
        <v>0</v>
      </c>
      <c r="BR129">
        <v>16.082249999999998</v>
      </c>
      <c r="BS129">
        <v>18.05125</v>
      </c>
      <c r="BT129">
        <v>0</v>
      </c>
      <c r="BU129">
        <v>0</v>
      </c>
      <c r="BV129">
        <v>2.5000000000000001E-2</v>
      </c>
      <c r="BW129">
        <v>1</v>
      </c>
      <c r="CV129">
        <v>0</v>
      </c>
      <c r="CW129">
        <f>ROUND(Y129*Source!I131*DO129,7)</f>
        <v>1.195E-4</v>
      </c>
      <c r="CX129">
        <f>ROUND(Y129*Source!I131,7)</f>
        <v>1.195E-4</v>
      </c>
      <c r="CY129">
        <f>AB129</f>
        <v>643.29</v>
      </c>
      <c r="CZ129">
        <f>AF129</f>
        <v>643.29</v>
      </c>
      <c r="DA129">
        <f>AJ129</f>
        <v>1</v>
      </c>
      <c r="DB129">
        <f>ROUND((ROUND(AT129*CZ129,2)*ROUND((1.25*2),7)),6)</f>
        <v>16.074999999999999</v>
      </c>
      <c r="DC129">
        <f>ROUND((ROUND(AT129*AG129,2)*ROUND((1.25*2),7)),6)</f>
        <v>18.05</v>
      </c>
      <c r="DD129" t="s">
        <v>332</v>
      </c>
      <c r="DE129" t="s">
        <v>332</v>
      </c>
      <c r="DF129">
        <f t="shared" si="55"/>
        <v>0</v>
      </c>
      <c r="DG129">
        <f>ROUND(ROUND(AF129,2)*CX129,2)</f>
        <v>0.08</v>
      </c>
      <c r="DH129">
        <f t="shared" ref="DH129:DH156" si="56">ROUND(ROUND(AG129,2)*CX129,2)</f>
        <v>0.09</v>
      </c>
      <c r="DI129">
        <f t="shared" ref="DI129:DI156" si="57">ROUND(ROUND(AH129,2)*CX129,2)</f>
        <v>0</v>
      </c>
      <c r="DJ129">
        <f>DG129+DH129</f>
        <v>0.17</v>
      </c>
      <c r="DK129">
        <v>1</v>
      </c>
      <c r="DL129" t="s">
        <v>64</v>
      </c>
      <c r="DM129">
        <v>4</v>
      </c>
      <c r="DN129" t="s">
        <v>31</v>
      </c>
      <c r="DO129">
        <v>1</v>
      </c>
    </row>
    <row r="130" spans="1:119" x14ac:dyDescent="0.25">
      <c r="A130">
        <f>ROW(Source!A131)</f>
        <v>131</v>
      </c>
      <c r="B130">
        <v>78397139</v>
      </c>
      <c r="C130">
        <v>78397800</v>
      </c>
      <c r="D130">
        <v>70187216</v>
      </c>
      <c r="E130">
        <v>1</v>
      </c>
      <c r="F130">
        <v>1</v>
      </c>
      <c r="G130">
        <v>1</v>
      </c>
      <c r="H130">
        <v>2</v>
      </c>
      <c r="I130" t="s">
        <v>125</v>
      </c>
      <c r="J130" t="s">
        <v>661</v>
      </c>
      <c r="K130" t="s">
        <v>126</v>
      </c>
      <c r="L130">
        <v>1368</v>
      </c>
      <c r="N130">
        <v>1011</v>
      </c>
      <c r="O130" t="s">
        <v>59</v>
      </c>
      <c r="P130" t="s">
        <v>59</v>
      </c>
      <c r="Q130">
        <v>1</v>
      </c>
      <c r="W130">
        <v>0</v>
      </c>
      <c r="X130">
        <v>-717252656</v>
      </c>
      <c r="Y130">
        <f>(AT130*ROUND((1.25*2),7))</f>
        <v>2.8</v>
      </c>
      <c r="AA130">
        <v>0</v>
      </c>
      <c r="AB130">
        <v>5.83</v>
      </c>
      <c r="AC130">
        <v>0</v>
      </c>
      <c r="AD130">
        <v>0</v>
      </c>
      <c r="AE130">
        <v>0</v>
      </c>
      <c r="AF130">
        <v>4.5199999999999996</v>
      </c>
      <c r="AG130">
        <v>0</v>
      </c>
      <c r="AH130">
        <v>0</v>
      </c>
      <c r="AI130">
        <v>1</v>
      </c>
      <c r="AJ130">
        <v>1.29</v>
      </c>
      <c r="AK130">
        <v>1</v>
      </c>
      <c r="AL130">
        <v>1</v>
      </c>
      <c r="AM130">
        <v>2</v>
      </c>
      <c r="AN130">
        <v>0</v>
      </c>
      <c r="AO130">
        <v>0</v>
      </c>
      <c r="AP130">
        <v>1</v>
      </c>
      <c r="AQ130">
        <v>1</v>
      </c>
      <c r="AR130">
        <v>0</v>
      </c>
      <c r="AS130" t="s">
        <v>332</v>
      </c>
      <c r="AT130">
        <v>1.1200000000000001</v>
      </c>
      <c r="AU130" t="s">
        <v>387</v>
      </c>
      <c r="AV130">
        <v>1</v>
      </c>
      <c r="AW130">
        <v>2</v>
      </c>
      <c r="AX130">
        <v>78397814</v>
      </c>
      <c r="AY130">
        <v>1</v>
      </c>
      <c r="AZ130">
        <v>0</v>
      </c>
      <c r="BA130">
        <v>130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5.0624000000000002</v>
      </c>
      <c r="BL130">
        <v>0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12.656000000000001</v>
      </c>
      <c r="BS130">
        <v>0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f>ROUND(Y130*Source!I131*DO130,7)</f>
        <v>0</v>
      </c>
      <c r="CX130">
        <f>ROUND(Y130*Source!I131,7)</f>
        <v>1.3384E-2</v>
      </c>
      <c r="CY130">
        <f>AB130</f>
        <v>5.83</v>
      </c>
      <c r="CZ130">
        <f>AF130</f>
        <v>4.5199999999999996</v>
      </c>
      <c r="DA130">
        <f>AJ130</f>
        <v>1.29</v>
      </c>
      <c r="DB130">
        <f>ROUND((ROUND(AT130*CZ130,2)*ROUND((1.25*2),7)),6)</f>
        <v>12.65</v>
      </c>
      <c r="DC130">
        <f>ROUND((ROUND(AT130*AG130,2)*ROUND((1.25*2),7)),6)</f>
        <v>0</v>
      </c>
      <c r="DD130" t="s">
        <v>332</v>
      </c>
      <c r="DE130" t="s">
        <v>332</v>
      </c>
      <c r="DF130">
        <f t="shared" si="55"/>
        <v>0</v>
      </c>
      <c r="DG130">
        <f>ROUND(ROUND(AF130*AJ130,2)*CX130,2)</f>
        <v>0.08</v>
      </c>
      <c r="DH130">
        <f t="shared" si="56"/>
        <v>0</v>
      </c>
      <c r="DI130">
        <f t="shared" si="57"/>
        <v>0</v>
      </c>
      <c r="DJ130">
        <f>DG130+DH130</f>
        <v>0.08</v>
      </c>
      <c r="DK130">
        <v>0</v>
      </c>
      <c r="DL130" t="s">
        <v>332</v>
      </c>
      <c r="DM130">
        <v>0</v>
      </c>
      <c r="DN130" t="s">
        <v>332</v>
      </c>
      <c r="DO130">
        <v>0</v>
      </c>
    </row>
    <row r="131" spans="1:119" x14ac:dyDescent="0.25">
      <c r="A131">
        <f>ROW(Source!A131)</f>
        <v>131</v>
      </c>
      <c r="B131">
        <v>78397139</v>
      </c>
      <c r="C131">
        <v>78397800</v>
      </c>
      <c r="D131">
        <v>70156805</v>
      </c>
      <c r="E131">
        <v>1</v>
      </c>
      <c r="F131">
        <v>1</v>
      </c>
      <c r="G131">
        <v>1</v>
      </c>
      <c r="H131">
        <v>3</v>
      </c>
      <c r="I131" t="s">
        <v>127</v>
      </c>
      <c r="J131" t="s">
        <v>662</v>
      </c>
      <c r="K131" t="s">
        <v>128</v>
      </c>
      <c r="L131">
        <v>1348</v>
      </c>
      <c r="N131">
        <v>1009</v>
      </c>
      <c r="O131" t="s">
        <v>87</v>
      </c>
      <c r="P131" t="s">
        <v>87</v>
      </c>
      <c r="Q131">
        <v>1000</v>
      </c>
      <c r="W131">
        <v>0</v>
      </c>
      <c r="X131">
        <v>-1638446817</v>
      </c>
      <c r="Y131">
        <f>(AT131*ROUND(2,7))</f>
        <v>1.7999999999999999E-2</v>
      </c>
      <c r="AA131">
        <v>78971.429999999993</v>
      </c>
      <c r="AB131">
        <v>0</v>
      </c>
      <c r="AC131">
        <v>0</v>
      </c>
      <c r="AD131">
        <v>0</v>
      </c>
      <c r="AE131">
        <v>51280.15</v>
      </c>
      <c r="AF131">
        <v>0</v>
      </c>
      <c r="AG131">
        <v>0</v>
      </c>
      <c r="AH131">
        <v>0</v>
      </c>
      <c r="AI131">
        <v>1.54</v>
      </c>
      <c r="AJ131">
        <v>1</v>
      </c>
      <c r="AK131">
        <v>1</v>
      </c>
      <c r="AL131">
        <v>1</v>
      </c>
      <c r="AM131">
        <v>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332</v>
      </c>
      <c r="AT131">
        <v>8.9999999999999993E-3</v>
      </c>
      <c r="AU131" t="s">
        <v>386</v>
      </c>
      <c r="AV131">
        <v>0</v>
      </c>
      <c r="AW131">
        <v>2</v>
      </c>
      <c r="AX131">
        <v>78397815</v>
      </c>
      <c r="AY131">
        <v>1</v>
      </c>
      <c r="AZ131">
        <v>0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461.52134999999998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1</v>
      </c>
      <c r="BQ131">
        <v>923.04269999999997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v>0</v>
      </c>
      <c r="CX131">
        <f>ROUND(Y131*Source!I131,7)</f>
        <v>8.6000000000000003E-5</v>
      </c>
      <c r="CY131">
        <f>AA131</f>
        <v>78971.429999999993</v>
      </c>
      <c r="CZ131">
        <f>AE131</f>
        <v>51280.15</v>
      </c>
      <c r="DA131">
        <f>AI131</f>
        <v>1.54</v>
      </c>
      <c r="DB131">
        <f>ROUND((ROUND(AT131*CZ131,2)*ROUND(2,7)),6)</f>
        <v>923.04</v>
      </c>
      <c r="DC131">
        <f>ROUND((ROUND(AT131*AG131,2)*ROUND(2,7)),6)</f>
        <v>0</v>
      </c>
      <c r="DD131" t="s">
        <v>332</v>
      </c>
      <c r="DE131" t="s">
        <v>332</v>
      </c>
      <c r="DF131">
        <f>ROUND(ROUND(AE131*AI131,2)*CX131,2)</f>
        <v>6.79</v>
      </c>
      <c r="DG131">
        <f>ROUND(ROUND(AF131,2)*CX131,2)</f>
        <v>0</v>
      </c>
      <c r="DH131">
        <f t="shared" si="56"/>
        <v>0</v>
      </c>
      <c r="DI131">
        <f t="shared" si="57"/>
        <v>0</v>
      </c>
      <c r="DJ131">
        <f>DF131</f>
        <v>6.79</v>
      </c>
      <c r="DK131">
        <v>0</v>
      </c>
      <c r="DL131" t="s">
        <v>332</v>
      </c>
      <c r="DM131">
        <v>0</v>
      </c>
      <c r="DN131" t="s">
        <v>332</v>
      </c>
      <c r="DO131">
        <v>0</v>
      </c>
    </row>
    <row r="132" spans="1:119" x14ac:dyDescent="0.25">
      <c r="A132">
        <f>ROW(Source!A131)</f>
        <v>131</v>
      </c>
      <c r="B132">
        <v>78397139</v>
      </c>
      <c r="C132">
        <v>78397800</v>
      </c>
      <c r="D132">
        <v>70157264</v>
      </c>
      <c r="E132">
        <v>1</v>
      </c>
      <c r="F132">
        <v>1</v>
      </c>
      <c r="G132">
        <v>1</v>
      </c>
      <c r="H132">
        <v>3</v>
      </c>
      <c r="I132" t="s">
        <v>129</v>
      </c>
      <c r="J132" t="s">
        <v>663</v>
      </c>
      <c r="K132" t="s">
        <v>130</v>
      </c>
      <c r="L132">
        <v>1348</v>
      </c>
      <c r="N132">
        <v>1009</v>
      </c>
      <c r="O132" t="s">
        <v>87</v>
      </c>
      <c r="P132" t="s">
        <v>87</v>
      </c>
      <c r="Q132">
        <v>1000</v>
      </c>
      <c r="W132">
        <v>0</v>
      </c>
      <c r="X132">
        <v>-159046778</v>
      </c>
      <c r="Y132">
        <f>(AT132*ROUND(2,7))</f>
        <v>3.0000000000000001E-3</v>
      </c>
      <c r="AA132">
        <v>109275.31</v>
      </c>
      <c r="AB132">
        <v>0</v>
      </c>
      <c r="AC132">
        <v>0</v>
      </c>
      <c r="AD132">
        <v>0</v>
      </c>
      <c r="AE132">
        <v>75885.63</v>
      </c>
      <c r="AF132">
        <v>0</v>
      </c>
      <c r="AG132">
        <v>0</v>
      </c>
      <c r="AH132">
        <v>0</v>
      </c>
      <c r="AI132">
        <v>1.44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332</v>
      </c>
      <c r="AT132">
        <v>1.5E-3</v>
      </c>
      <c r="AU132" t="s">
        <v>386</v>
      </c>
      <c r="AV132">
        <v>0</v>
      </c>
      <c r="AW132">
        <v>2</v>
      </c>
      <c r="AX132">
        <v>78397816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113.828445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227.65689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ROUND(Y132*Source!I131,7)</f>
        <v>1.43E-5</v>
      </c>
      <c r="CY132">
        <f>AA132</f>
        <v>109275.31</v>
      </c>
      <c r="CZ132">
        <f>AE132</f>
        <v>75885.63</v>
      </c>
      <c r="DA132">
        <f>AI132</f>
        <v>1.44</v>
      </c>
      <c r="DB132">
        <f>ROUND((ROUND(AT132*CZ132,2)*ROUND(2,7)),6)</f>
        <v>227.66</v>
      </c>
      <c r="DC132">
        <f>ROUND((ROUND(AT132*AG132,2)*ROUND(2,7)),6)</f>
        <v>0</v>
      </c>
      <c r="DD132" t="s">
        <v>332</v>
      </c>
      <c r="DE132" t="s">
        <v>332</v>
      </c>
      <c r="DF132">
        <f>ROUND(ROUND(AE132*AI132,2)*CX132,2)</f>
        <v>1.56</v>
      </c>
      <c r="DG132">
        <f>ROUND(ROUND(AF132,2)*CX132,2)</f>
        <v>0</v>
      </c>
      <c r="DH132">
        <f t="shared" si="56"/>
        <v>0</v>
      </c>
      <c r="DI132">
        <f t="shared" si="57"/>
        <v>0</v>
      </c>
      <c r="DJ132">
        <f>DF132</f>
        <v>1.56</v>
      </c>
      <c r="DK132">
        <v>0</v>
      </c>
      <c r="DL132" t="s">
        <v>332</v>
      </c>
      <c r="DM132">
        <v>0</v>
      </c>
      <c r="DN132" t="s">
        <v>332</v>
      </c>
      <c r="DO132">
        <v>0</v>
      </c>
    </row>
    <row r="133" spans="1:119" x14ac:dyDescent="0.25">
      <c r="A133">
        <f>ROW(Source!A132)</f>
        <v>132</v>
      </c>
      <c r="B133">
        <v>78397139</v>
      </c>
      <c r="C133">
        <v>78397817</v>
      </c>
      <c r="D133">
        <v>28074754</v>
      </c>
      <c r="E133">
        <v>115</v>
      </c>
      <c r="F133">
        <v>1</v>
      </c>
      <c r="G133">
        <v>1</v>
      </c>
      <c r="H133">
        <v>1</v>
      </c>
      <c r="I133" t="s">
        <v>139</v>
      </c>
      <c r="J133" t="s">
        <v>332</v>
      </c>
      <c r="K133" t="s">
        <v>140</v>
      </c>
      <c r="L133">
        <v>1191</v>
      </c>
      <c r="N133">
        <v>1013</v>
      </c>
      <c r="O133" t="s">
        <v>31</v>
      </c>
      <c r="P133" t="s">
        <v>31</v>
      </c>
      <c r="Q133">
        <v>1</v>
      </c>
      <c r="W133">
        <v>0</v>
      </c>
      <c r="X133">
        <v>32079103</v>
      </c>
      <c r="Y133">
        <f>(AT133*ROUND(1.15,7))</f>
        <v>74.290000000000006</v>
      </c>
      <c r="AA133">
        <v>0</v>
      </c>
      <c r="AB133">
        <v>0</v>
      </c>
      <c r="AC133">
        <v>0</v>
      </c>
      <c r="AD133">
        <v>665.47</v>
      </c>
      <c r="AE133">
        <v>0</v>
      </c>
      <c r="AF133">
        <v>0</v>
      </c>
      <c r="AG133">
        <v>0</v>
      </c>
      <c r="AH133">
        <v>665.47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332</v>
      </c>
      <c r="AT133">
        <v>64.599999999999994</v>
      </c>
      <c r="AU133" t="s">
        <v>402</v>
      </c>
      <c r="AV133">
        <v>1</v>
      </c>
      <c r="AW133">
        <v>2</v>
      </c>
      <c r="AX133">
        <v>78397825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42989.362000000001</v>
      </c>
      <c r="BN133">
        <v>64.599999999999994</v>
      </c>
      <c r="BO133">
        <v>0</v>
      </c>
      <c r="BP133">
        <v>1</v>
      </c>
      <c r="BQ133">
        <v>0</v>
      </c>
      <c r="BR133">
        <v>0</v>
      </c>
      <c r="BS133">
        <v>0</v>
      </c>
      <c r="BT133">
        <v>49437.766300000003</v>
      </c>
      <c r="BU133">
        <v>74.290000000000006</v>
      </c>
      <c r="BV133">
        <v>0</v>
      </c>
      <c r="BW133">
        <v>1</v>
      </c>
      <c r="CU133">
        <f>ROUND(AT133*Source!I132*AH133*AL133,2)</f>
        <v>205.49</v>
      </c>
      <c r="CV133">
        <f>ROUND(Y133*Source!I132,7)</f>
        <v>0.35510619999999998</v>
      </c>
      <c r="CW133">
        <v>0</v>
      </c>
      <c r="CX133">
        <f>ROUND(Y133*Source!I132,7)</f>
        <v>0.35510619999999998</v>
      </c>
      <c r="CY133">
        <f>AD133</f>
        <v>665.47</v>
      </c>
      <c r="CZ133">
        <f>AH133</f>
        <v>665.47</v>
      </c>
      <c r="DA133">
        <f>AL133</f>
        <v>1</v>
      </c>
      <c r="DB133">
        <f>ROUND((ROUND(AT133*CZ133,2)*ROUND(1.15,7)),6)</f>
        <v>49437.764000000003</v>
      </c>
      <c r="DC133">
        <f>ROUND((ROUND(AT133*AG133,2)*ROUND(1.15,7)),6)</f>
        <v>0</v>
      </c>
      <c r="DD133" t="s">
        <v>332</v>
      </c>
      <c r="DE133" t="s">
        <v>332</v>
      </c>
      <c r="DF133">
        <f>ROUND(ROUND(AE133,2)*CX133,2)</f>
        <v>0</v>
      </c>
      <c r="DG133">
        <f>ROUND(ROUND(AF133,2)*CX133,2)</f>
        <v>0</v>
      </c>
      <c r="DH133">
        <f t="shared" si="56"/>
        <v>0</v>
      </c>
      <c r="DI133">
        <f t="shared" si="57"/>
        <v>236.31</v>
      </c>
      <c r="DJ133">
        <f>DI133</f>
        <v>236.31</v>
      </c>
      <c r="DK133">
        <v>1</v>
      </c>
      <c r="DL133" t="s">
        <v>332</v>
      </c>
      <c r="DM133">
        <v>0</v>
      </c>
      <c r="DN133" t="s">
        <v>332</v>
      </c>
      <c r="DO133">
        <v>0</v>
      </c>
    </row>
    <row r="134" spans="1:119" x14ac:dyDescent="0.25">
      <c r="A134">
        <f>ROW(Source!A132)</f>
        <v>132</v>
      </c>
      <c r="B134">
        <v>78397139</v>
      </c>
      <c r="C134">
        <v>78397817</v>
      </c>
      <c r="D134">
        <v>28074654</v>
      </c>
      <c r="E134">
        <v>115</v>
      </c>
      <c r="F134">
        <v>1</v>
      </c>
      <c r="G134">
        <v>1</v>
      </c>
      <c r="H134">
        <v>1</v>
      </c>
      <c r="I134" t="s">
        <v>647</v>
      </c>
      <c r="J134" t="s">
        <v>332</v>
      </c>
      <c r="K134" t="s">
        <v>648</v>
      </c>
      <c r="L134">
        <v>1191</v>
      </c>
      <c r="N134">
        <v>1013</v>
      </c>
      <c r="O134" t="s">
        <v>31</v>
      </c>
      <c r="P134" t="s">
        <v>31</v>
      </c>
      <c r="Q134">
        <v>1</v>
      </c>
      <c r="W134">
        <v>0</v>
      </c>
      <c r="X134">
        <v>-1417349443</v>
      </c>
      <c r="Y134">
        <f>(AT134*ROUND(1.25,7))</f>
        <v>0.05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332</v>
      </c>
      <c r="AT134">
        <v>0.04</v>
      </c>
      <c r="AU134" t="s">
        <v>401</v>
      </c>
      <c r="AV134">
        <v>2</v>
      </c>
      <c r="AW134">
        <v>2</v>
      </c>
      <c r="AX134">
        <v>78397826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ROUND(Y134*Source!I132,7)</f>
        <v>2.3900000000000001E-4</v>
      </c>
      <c r="CY134">
        <f>AD134</f>
        <v>0</v>
      </c>
      <c r="CZ134">
        <f>AH134</f>
        <v>0</v>
      </c>
      <c r="DA134">
        <f>AL134</f>
        <v>1</v>
      </c>
      <c r="DB134">
        <f>ROUND((ROUND(AT134*CZ134,2)*ROUND(1.25,7)),6)</f>
        <v>0</v>
      </c>
      <c r="DC134">
        <f>ROUND((ROUND(AT134*AG134,2)*ROUND(1.25,7)),6)</f>
        <v>0</v>
      </c>
      <c r="DD134" t="s">
        <v>332</v>
      </c>
      <c r="DE134" t="s">
        <v>332</v>
      </c>
      <c r="DF134">
        <f>ROUND(ROUND(AE134,2)*CX134,2)</f>
        <v>0</v>
      </c>
      <c r="DG134">
        <f>ROUND(ROUND(AF134,2)*CX134,2)</f>
        <v>0</v>
      </c>
      <c r="DH134">
        <f t="shared" si="56"/>
        <v>0</v>
      </c>
      <c r="DI134">
        <f t="shared" si="57"/>
        <v>0</v>
      </c>
      <c r="DJ134">
        <f>DI134</f>
        <v>0</v>
      </c>
      <c r="DK134">
        <v>0</v>
      </c>
      <c r="DL134" t="s">
        <v>332</v>
      </c>
      <c r="DM134">
        <v>0</v>
      </c>
      <c r="DN134" t="s">
        <v>332</v>
      </c>
      <c r="DO134">
        <v>0</v>
      </c>
    </row>
    <row r="135" spans="1:119" x14ac:dyDescent="0.25">
      <c r="A135">
        <f>ROW(Source!A132)</f>
        <v>132</v>
      </c>
      <c r="B135">
        <v>78397139</v>
      </c>
      <c r="C135">
        <v>78397817</v>
      </c>
      <c r="D135">
        <v>74331786</v>
      </c>
      <c r="E135">
        <v>1</v>
      </c>
      <c r="F135">
        <v>1</v>
      </c>
      <c r="G135">
        <v>1</v>
      </c>
      <c r="H135">
        <v>2</v>
      </c>
      <c r="I135" t="s">
        <v>57</v>
      </c>
      <c r="J135" t="s">
        <v>649</v>
      </c>
      <c r="K135" t="s">
        <v>58</v>
      </c>
      <c r="L135">
        <v>1368</v>
      </c>
      <c r="N135">
        <v>1011</v>
      </c>
      <c r="O135" t="s">
        <v>59</v>
      </c>
      <c r="P135" t="s">
        <v>59</v>
      </c>
      <c r="Q135">
        <v>1</v>
      </c>
      <c r="W135">
        <v>0</v>
      </c>
      <c r="X135">
        <v>-184590531</v>
      </c>
      <c r="Y135">
        <f>(AT135*ROUND(1.25,7))</f>
        <v>1.2500000000000001E-2</v>
      </c>
      <c r="AA135">
        <v>0</v>
      </c>
      <c r="AB135">
        <v>57.47</v>
      </c>
      <c r="AC135">
        <v>641.22</v>
      </c>
      <c r="AD135">
        <v>0</v>
      </c>
      <c r="AE135">
        <v>0</v>
      </c>
      <c r="AF135">
        <v>37.32</v>
      </c>
      <c r="AG135">
        <v>641.22</v>
      </c>
      <c r="AH135">
        <v>0</v>
      </c>
      <c r="AI135">
        <v>1</v>
      </c>
      <c r="AJ135">
        <v>1.54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332</v>
      </c>
      <c r="AT135">
        <v>0.01</v>
      </c>
      <c r="AU135" t="s">
        <v>401</v>
      </c>
      <c r="AV135">
        <v>1</v>
      </c>
      <c r="AW135">
        <v>2</v>
      </c>
      <c r="AX135">
        <v>78397827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0.37319999999999998</v>
      </c>
      <c r="BL135">
        <v>6.4122000000000003</v>
      </c>
      <c r="BM135">
        <v>0</v>
      </c>
      <c r="BN135">
        <v>0</v>
      </c>
      <c r="BO135">
        <v>0.01</v>
      </c>
      <c r="BP135">
        <v>1</v>
      </c>
      <c r="BQ135">
        <v>0</v>
      </c>
      <c r="BR135">
        <v>0.46650000000000003</v>
      </c>
      <c r="BS135">
        <v>8.01525</v>
      </c>
      <c r="BT135">
        <v>0</v>
      </c>
      <c r="BU135">
        <v>0</v>
      </c>
      <c r="BV135">
        <v>1.2500000000000001E-2</v>
      </c>
      <c r="BW135">
        <v>1</v>
      </c>
      <c r="CV135">
        <v>0</v>
      </c>
      <c r="CW135">
        <f>ROUND(Y135*Source!I132*DO135,7)</f>
        <v>5.9799999999999997E-5</v>
      </c>
      <c r="CX135">
        <f>ROUND(Y135*Source!I132,7)</f>
        <v>5.9799999999999997E-5</v>
      </c>
      <c r="CY135">
        <f>AB135</f>
        <v>57.47</v>
      </c>
      <c r="CZ135">
        <f>AF135</f>
        <v>37.32</v>
      </c>
      <c r="DA135">
        <f>AJ135</f>
        <v>1.54</v>
      </c>
      <c r="DB135">
        <f>ROUND((ROUND(AT135*CZ135,2)*ROUND(1.25,7)),6)</f>
        <v>0.46250000000000002</v>
      </c>
      <c r="DC135">
        <f>ROUND((ROUND(AT135*AG135,2)*ROUND(1.25,7)),6)</f>
        <v>8.0124999999999993</v>
      </c>
      <c r="DD135" t="s">
        <v>332</v>
      </c>
      <c r="DE135" t="s">
        <v>332</v>
      </c>
      <c r="DF135">
        <f>ROUND(ROUND(AE135,2)*CX135,2)</f>
        <v>0</v>
      </c>
      <c r="DG135">
        <f>ROUND(ROUND(AF135*AJ135,2)*CX135,2)</f>
        <v>0</v>
      </c>
      <c r="DH135">
        <f t="shared" si="56"/>
        <v>0.04</v>
      </c>
      <c r="DI135">
        <f t="shared" si="57"/>
        <v>0</v>
      </c>
      <c r="DJ135">
        <f>DG135+DH135</f>
        <v>0.04</v>
      </c>
      <c r="DK135">
        <v>0</v>
      </c>
      <c r="DL135" t="s">
        <v>60</v>
      </c>
      <c r="DM135">
        <v>3</v>
      </c>
      <c r="DN135" t="s">
        <v>31</v>
      </c>
      <c r="DO135">
        <v>1</v>
      </c>
    </row>
    <row r="136" spans="1:119" x14ac:dyDescent="0.25">
      <c r="A136">
        <f>ROW(Source!A132)</f>
        <v>132</v>
      </c>
      <c r="B136">
        <v>78397139</v>
      </c>
      <c r="C136">
        <v>78397817</v>
      </c>
      <c r="D136">
        <v>74332500</v>
      </c>
      <c r="E136">
        <v>1</v>
      </c>
      <c r="F136">
        <v>1</v>
      </c>
      <c r="G136">
        <v>1</v>
      </c>
      <c r="H136">
        <v>2</v>
      </c>
      <c r="I136" t="s">
        <v>62</v>
      </c>
      <c r="J136" t="s">
        <v>650</v>
      </c>
      <c r="K136" t="s">
        <v>63</v>
      </c>
      <c r="L136">
        <v>1368</v>
      </c>
      <c r="N136">
        <v>1011</v>
      </c>
      <c r="O136" t="s">
        <v>59</v>
      </c>
      <c r="P136" t="s">
        <v>59</v>
      </c>
      <c r="Q136">
        <v>1</v>
      </c>
      <c r="W136">
        <v>0</v>
      </c>
      <c r="X136">
        <v>-1219940357</v>
      </c>
      <c r="Y136">
        <f>(AT136*ROUND(1.25,7))</f>
        <v>3.7499999999999999E-2</v>
      </c>
      <c r="AA136">
        <v>0</v>
      </c>
      <c r="AB136">
        <v>643.29</v>
      </c>
      <c r="AC136">
        <v>722.05</v>
      </c>
      <c r="AD136">
        <v>0</v>
      </c>
      <c r="AE136">
        <v>0</v>
      </c>
      <c r="AF136">
        <v>643.29</v>
      </c>
      <c r="AG136">
        <v>722.05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-2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332</v>
      </c>
      <c r="AT136">
        <v>0.03</v>
      </c>
      <c r="AU136" t="s">
        <v>401</v>
      </c>
      <c r="AV136">
        <v>1</v>
      </c>
      <c r="AW136">
        <v>2</v>
      </c>
      <c r="AX136">
        <v>78397828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19.2987</v>
      </c>
      <c r="BL136">
        <v>21.6615</v>
      </c>
      <c r="BM136">
        <v>0</v>
      </c>
      <c r="BN136">
        <v>0</v>
      </c>
      <c r="BO136">
        <v>0.03</v>
      </c>
      <c r="BP136">
        <v>1</v>
      </c>
      <c r="BQ136">
        <v>0</v>
      </c>
      <c r="BR136">
        <v>24.123374999999999</v>
      </c>
      <c r="BS136">
        <v>27.076875000000001</v>
      </c>
      <c r="BT136">
        <v>0</v>
      </c>
      <c r="BU136">
        <v>0</v>
      </c>
      <c r="BV136">
        <v>3.7499999999999999E-2</v>
      </c>
      <c r="BW136">
        <v>1</v>
      </c>
      <c r="CV136">
        <v>0</v>
      </c>
      <c r="CW136">
        <f>ROUND(Y136*Source!I132*DO136,7)</f>
        <v>1.7929999999999999E-4</v>
      </c>
      <c r="CX136">
        <f>ROUND(Y136*Source!I132,7)</f>
        <v>1.7929999999999999E-4</v>
      </c>
      <c r="CY136">
        <f>AB136</f>
        <v>643.29</v>
      </c>
      <c r="CZ136">
        <f>AF136</f>
        <v>643.29</v>
      </c>
      <c r="DA136">
        <f>AJ136</f>
        <v>1</v>
      </c>
      <c r="DB136">
        <f>ROUND((ROUND(AT136*CZ136,2)*ROUND(1.25,7)),6)</f>
        <v>24.125</v>
      </c>
      <c r="DC136">
        <f>ROUND((ROUND(AT136*AG136,2)*ROUND(1.25,7)),6)</f>
        <v>27.074999999999999</v>
      </c>
      <c r="DD136" t="s">
        <v>332</v>
      </c>
      <c r="DE136" t="s">
        <v>332</v>
      </c>
      <c r="DF136">
        <f>ROUND(ROUND(AE136,2)*CX136,2)</f>
        <v>0</v>
      </c>
      <c r="DG136">
        <f t="shared" ref="DG136:DG142" si="58">ROUND(ROUND(AF136,2)*CX136,2)</f>
        <v>0.12</v>
      </c>
      <c r="DH136">
        <f t="shared" si="56"/>
        <v>0.13</v>
      </c>
      <c r="DI136">
        <f t="shared" si="57"/>
        <v>0</v>
      </c>
      <c r="DJ136">
        <f>DG136+DH136</f>
        <v>0.25</v>
      </c>
      <c r="DK136">
        <v>1</v>
      </c>
      <c r="DL136" t="s">
        <v>64</v>
      </c>
      <c r="DM136">
        <v>4</v>
      </c>
      <c r="DN136" t="s">
        <v>31</v>
      </c>
      <c r="DO136">
        <v>1</v>
      </c>
    </row>
    <row r="137" spans="1:119" x14ac:dyDescent="0.25">
      <c r="A137">
        <f>ROW(Source!A132)</f>
        <v>132</v>
      </c>
      <c r="B137">
        <v>78397139</v>
      </c>
      <c r="C137">
        <v>78397817</v>
      </c>
      <c r="D137">
        <v>74286122</v>
      </c>
      <c r="E137">
        <v>1</v>
      </c>
      <c r="F137">
        <v>1</v>
      </c>
      <c r="G137">
        <v>1</v>
      </c>
      <c r="H137">
        <v>3</v>
      </c>
      <c r="I137" t="s">
        <v>141</v>
      </c>
      <c r="J137" t="s">
        <v>664</v>
      </c>
      <c r="K137" t="s">
        <v>142</v>
      </c>
      <c r="L137">
        <v>1346</v>
      </c>
      <c r="N137">
        <v>1009</v>
      </c>
      <c r="O137" t="s">
        <v>111</v>
      </c>
      <c r="P137" t="s">
        <v>111</v>
      </c>
      <c r="Q137">
        <v>1</v>
      </c>
      <c r="W137">
        <v>0</v>
      </c>
      <c r="X137">
        <v>-1597827205</v>
      </c>
      <c r="Y137">
        <f>AT137</f>
        <v>0.3</v>
      </c>
      <c r="AA137">
        <v>86.41</v>
      </c>
      <c r="AB137">
        <v>0</v>
      </c>
      <c r="AC137">
        <v>0</v>
      </c>
      <c r="AD137">
        <v>0</v>
      </c>
      <c r="AE137">
        <v>56.11</v>
      </c>
      <c r="AF137">
        <v>0</v>
      </c>
      <c r="AG137">
        <v>0</v>
      </c>
      <c r="AH137">
        <v>0</v>
      </c>
      <c r="AI137">
        <v>1.54</v>
      </c>
      <c r="AJ137">
        <v>1</v>
      </c>
      <c r="AK137">
        <v>1</v>
      </c>
      <c r="AL137">
        <v>1</v>
      </c>
      <c r="AM137">
        <v>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332</v>
      </c>
      <c r="AT137">
        <v>0.3</v>
      </c>
      <c r="AU137" t="s">
        <v>332</v>
      </c>
      <c r="AV137">
        <v>0</v>
      </c>
      <c r="AW137">
        <v>2</v>
      </c>
      <c r="AX137">
        <v>78397829</v>
      </c>
      <c r="AY137">
        <v>1</v>
      </c>
      <c r="AZ137">
        <v>0</v>
      </c>
      <c r="BA137">
        <v>137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16.832999999999998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16.832999999999998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ROUND(Y137*Source!I132,7)</f>
        <v>1.4339999999999999E-3</v>
      </c>
      <c r="CY137">
        <f>AA137</f>
        <v>86.41</v>
      </c>
      <c r="CZ137">
        <f>AE137</f>
        <v>56.11</v>
      </c>
      <c r="DA137">
        <f>AI137</f>
        <v>1.54</v>
      </c>
      <c r="DB137">
        <f>ROUND(ROUND(AT137*CZ137,2),6)</f>
        <v>16.829999999999998</v>
      </c>
      <c r="DC137">
        <f>ROUND(ROUND(AT137*AG137,2),6)</f>
        <v>0</v>
      </c>
      <c r="DD137" t="s">
        <v>332</v>
      </c>
      <c r="DE137" t="s">
        <v>332</v>
      </c>
      <c r="DF137">
        <f>ROUND(ROUND(AE137*AI137,2)*CX137,2)</f>
        <v>0.12</v>
      </c>
      <c r="DG137">
        <f t="shared" si="58"/>
        <v>0</v>
      </c>
      <c r="DH137">
        <f t="shared" si="56"/>
        <v>0</v>
      </c>
      <c r="DI137">
        <f t="shared" si="57"/>
        <v>0</v>
      </c>
      <c r="DJ137">
        <f>DF137</f>
        <v>0.12</v>
      </c>
      <c r="DK137">
        <v>0</v>
      </c>
      <c r="DL137" t="s">
        <v>332</v>
      </c>
      <c r="DM137">
        <v>0</v>
      </c>
      <c r="DN137" t="s">
        <v>332</v>
      </c>
      <c r="DO137">
        <v>0</v>
      </c>
    </row>
    <row r="138" spans="1:119" x14ac:dyDescent="0.25">
      <c r="A138">
        <f>ROW(Source!A132)</f>
        <v>132</v>
      </c>
      <c r="B138">
        <v>78397139</v>
      </c>
      <c r="C138">
        <v>78397817</v>
      </c>
      <c r="D138">
        <v>74302117</v>
      </c>
      <c r="E138">
        <v>1</v>
      </c>
      <c r="F138">
        <v>1</v>
      </c>
      <c r="G138">
        <v>1</v>
      </c>
      <c r="H138">
        <v>3</v>
      </c>
      <c r="I138" t="s">
        <v>408</v>
      </c>
      <c r="J138" t="s">
        <v>410</v>
      </c>
      <c r="K138" t="s">
        <v>409</v>
      </c>
      <c r="L138">
        <v>1348</v>
      </c>
      <c r="N138">
        <v>1009</v>
      </c>
      <c r="O138" t="s">
        <v>87</v>
      </c>
      <c r="P138" t="s">
        <v>87</v>
      </c>
      <c r="Q138">
        <v>1000</v>
      </c>
      <c r="W138">
        <v>0</v>
      </c>
      <c r="X138">
        <v>-2053071529</v>
      </c>
      <c r="Y138">
        <f>AT138</f>
        <v>2.46E-2</v>
      </c>
      <c r="AA138">
        <v>86539.43</v>
      </c>
      <c r="AB138">
        <v>0</v>
      </c>
      <c r="AC138">
        <v>0</v>
      </c>
      <c r="AD138">
        <v>0</v>
      </c>
      <c r="AE138">
        <v>61813.88</v>
      </c>
      <c r="AF138">
        <v>0</v>
      </c>
      <c r="AG138">
        <v>0</v>
      </c>
      <c r="AH138">
        <v>0</v>
      </c>
      <c r="AI138">
        <v>1.4</v>
      </c>
      <c r="AJ138">
        <v>1</v>
      </c>
      <c r="AK138">
        <v>1</v>
      </c>
      <c r="AL138">
        <v>1</v>
      </c>
      <c r="AM138">
        <v>2</v>
      </c>
      <c r="AN138">
        <v>0</v>
      </c>
      <c r="AO138">
        <v>0</v>
      </c>
      <c r="AP138">
        <v>1</v>
      </c>
      <c r="AQ138">
        <v>0</v>
      </c>
      <c r="AR138">
        <v>0</v>
      </c>
      <c r="AS138" t="s">
        <v>332</v>
      </c>
      <c r="AT138">
        <v>2.46E-2</v>
      </c>
      <c r="AU138" t="s">
        <v>332</v>
      </c>
      <c r="AV138">
        <v>0</v>
      </c>
      <c r="AW138">
        <v>1</v>
      </c>
      <c r="AX138">
        <v>-1</v>
      </c>
      <c r="AY138">
        <v>0</v>
      </c>
      <c r="AZ138">
        <v>0</v>
      </c>
      <c r="BA138" t="s">
        <v>332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ROUND(Y138*Source!I132,7)</f>
        <v>1.176E-4</v>
      </c>
      <c r="CY138">
        <f>AA138</f>
        <v>86539.43</v>
      </c>
      <c r="CZ138">
        <f>AE138</f>
        <v>61813.88</v>
      </c>
      <c r="DA138">
        <f>AI138</f>
        <v>1.4</v>
      </c>
      <c r="DB138">
        <f>ROUND(ROUND(AT138*CZ138,2),6)</f>
        <v>1520.62</v>
      </c>
      <c r="DC138">
        <f>ROUND(ROUND(AT138*AG138,2),6)</f>
        <v>0</v>
      </c>
      <c r="DD138" t="s">
        <v>332</v>
      </c>
      <c r="DE138" t="s">
        <v>332</v>
      </c>
      <c r="DF138">
        <f>ROUND(ROUND(AE138*AI138,2)*CX138,2)</f>
        <v>10.18</v>
      </c>
      <c r="DG138">
        <f t="shared" si="58"/>
        <v>0</v>
      </c>
      <c r="DH138">
        <f t="shared" si="56"/>
        <v>0</v>
      </c>
      <c r="DI138">
        <f t="shared" si="57"/>
        <v>0</v>
      </c>
      <c r="DJ138">
        <f>DF138</f>
        <v>10.18</v>
      </c>
      <c r="DK138">
        <v>0</v>
      </c>
      <c r="DL138" t="s">
        <v>332</v>
      </c>
      <c r="DM138">
        <v>0</v>
      </c>
      <c r="DN138" t="s">
        <v>332</v>
      </c>
      <c r="DO138">
        <v>0</v>
      </c>
    </row>
    <row r="139" spans="1:119" x14ac:dyDescent="0.25">
      <c r="A139">
        <f>ROW(Source!A132)</f>
        <v>132</v>
      </c>
      <c r="B139">
        <v>78397139</v>
      </c>
      <c r="C139">
        <v>78397817</v>
      </c>
      <c r="D139">
        <v>74302390</v>
      </c>
      <c r="E139">
        <v>1</v>
      </c>
      <c r="F139">
        <v>1</v>
      </c>
      <c r="G139">
        <v>1</v>
      </c>
      <c r="H139">
        <v>3</v>
      </c>
      <c r="I139" t="s">
        <v>143</v>
      </c>
      <c r="J139" t="s">
        <v>665</v>
      </c>
      <c r="K139" t="s">
        <v>144</v>
      </c>
      <c r="L139">
        <v>1346</v>
      </c>
      <c r="N139">
        <v>1009</v>
      </c>
      <c r="O139" t="s">
        <v>111</v>
      </c>
      <c r="P139" t="s">
        <v>111</v>
      </c>
      <c r="Q139">
        <v>1</v>
      </c>
      <c r="W139">
        <v>0</v>
      </c>
      <c r="X139">
        <v>2095200358</v>
      </c>
      <c r="Y139">
        <f>AT139</f>
        <v>2.7</v>
      </c>
      <c r="AA139">
        <v>159.97</v>
      </c>
      <c r="AB139">
        <v>0</v>
      </c>
      <c r="AC139">
        <v>0</v>
      </c>
      <c r="AD139">
        <v>0</v>
      </c>
      <c r="AE139">
        <v>133.31</v>
      </c>
      <c r="AF139">
        <v>0</v>
      </c>
      <c r="AG139">
        <v>0</v>
      </c>
      <c r="AH139">
        <v>0</v>
      </c>
      <c r="AI139">
        <v>1.2</v>
      </c>
      <c r="AJ139">
        <v>1</v>
      </c>
      <c r="AK139">
        <v>1</v>
      </c>
      <c r="AL139">
        <v>1</v>
      </c>
      <c r="AM139">
        <v>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332</v>
      </c>
      <c r="AT139">
        <v>2.7</v>
      </c>
      <c r="AU139" t="s">
        <v>332</v>
      </c>
      <c r="AV139">
        <v>0</v>
      </c>
      <c r="AW139">
        <v>2</v>
      </c>
      <c r="AX139">
        <v>78397831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359.93700000000001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1</v>
      </c>
      <c r="BQ139">
        <v>359.93700000000001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1</v>
      </c>
      <c r="CV139">
        <v>0</v>
      </c>
      <c r="CW139">
        <v>0</v>
      </c>
      <c r="CX139">
        <f>ROUND(Y139*Source!I132,7)</f>
        <v>1.2906000000000001E-2</v>
      </c>
      <c r="CY139">
        <f>AA139</f>
        <v>159.97</v>
      </c>
      <c r="CZ139">
        <f>AE139</f>
        <v>133.31</v>
      </c>
      <c r="DA139">
        <f>AI139</f>
        <v>1.2</v>
      </c>
      <c r="DB139">
        <f>ROUND(ROUND(AT139*CZ139,2),6)</f>
        <v>359.94</v>
      </c>
      <c r="DC139">
        <f>ROUND(ROUND(AT139*AG139,2),6)</f>
        <v>0</v>
      </c>
      <c r="DD139" t="s">
        <v>332</v>
      </c>
      <c r="DE139" t="s">
        <v>332</v>
      </c>
      <c r="DF139">
        <f>ROUND(ROUND(AE139*AI139,2)*CX139,2)</f>
        <v>2.06</v>
      </c>
      <c r="DG139">
        <f t="shared" si="58"/>
        <v>0</v>
      </c>
      <c r="DH139">
        <f t="shared" si="56"/>
        <v>0</v>
      </c>
      <c r="DI139">
        <f t="shared" si="57"/>
        <v>0</v>
      </c>
      <c r="DJ139">
        <f>DF139</f>
        <v>2.06</v>
      </c>
      <c r="DK139">
        <v>0</v>
      </c>
      <c r="DL139" t="s">
        <v>332</v>
      </c>
      <c r="DM139">
        <v>0</v>
      </c>
      <c r="DN139" t="s">
        <v>332</v>
      </c>
      <c r="DO139">
        <v>0</v>
      </c>
    </row>
    <row r="140" spans="1:119" x14ac:dyDescent="0.25">
      <c r="A140">
        <f>ROW(Source!A134)</f>
        <v>134</v>
      </c>
      <c r="B140">
        <v>78397139</v>
      </c>
      <c r="C140">
        <v>78397833</v>
      </c>
      <c r="D140">
        <v>28082536</v>
      </c>
      <c r="E140">
        <v>117</v>
      </c>
      <c r="F140">
        <v>1</v>
      </c>
      <c r="G140">
        <v>1</v>
      </c>
      <c r="H140">
        <v>1</v>
      </c>
      <c r="I140" t="s">
        <v>152</v>
      </c>
      <c r="J140" t="s">
        <v>332</v>
      </c>
      <c r="K140" t="s">
        <v>153</v>
      </c>
      <c r="L140">
        <v>1191</v>
      </c>
      <c r="N140">
        <v>1013</v>
      </c>
      <c r="O140" t="s">
        <v>31</v>
      </c>
      <c r="P140" t="s">
        <v>31</v>
      </c>
      <c r="Q140">
        <v>1</v>
      </c>
      <c r="W140">
        <v>0</v>
      </c>
      <c r="X140">
        <v>1733635447</v>
      </c>
      <c r="Y140">
        <f>(AT140*ROUND(1.15,7))</f>
        <v>21.217500000000001</v>
      </c>
      <c r="AA140">
        <v>0</v>
      </c>
      <c r="AB140">
        <v>0</v>
      </c>
      <c r="AC140">
        <v>0</v>
      </c>
      <c r="AD140">
        <v>689.72</v>
      </c>
      <c r="AE140">
        <v>0</v>
      </c>
      <c r="AF140">
        <v>0</v>
      </c>
      <c r="AG140">
        <v>0</v>
      </c>
      <c r="AH140">
        <v>689.72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332</v>
      </c>
      <c r="AT140">
        <v>18.45</v>
      </c>
      <c r="AU140" t="s">
        <v>402</v>
      </c>
      <c r="AV140">
        <v>1</v>
      </c>
      <c r="AW140">
        <v>2</v>
      </c>
      <c r="AX140">
        <v>78397844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12725.334000000001</v>
      </c>
      <c r="BN140">
        <v>18.45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14634.134099999999</v>
      </c>
      <c r="BU140">
        <v>21.217500000000001</v>
      </c>
      <c r="BV140">
        <v>0</v>
      </c>
      <c r="BW140">
        <v>1</v>
      </c>
      <c r="CU140">
        <f>ROUND(AT140*Source!I134*AH140*AL140,2)</f>
        <v>254.51</v>
      </c>
      <c r="CV140">
        <f>ROUND(Y140*Source!I134,7)</f>
        <v>0.42435</v>
      </c>
      <c r="CW140">
        <v>0</v>
      </c>
      <c r="CX140">
        <f>ROUND(Y140*Source!I134,7)</f>
        <v>0.42435</v>
      </c>
      <c r="CY140">
        <f>AD140</f>
        <v>689.72</v>
      </c>
      <c r="CZ140">
        <f>AH140</f>
        <v>689.72</v>
      </c>
      <c r="DA140">
        <f>AL140</f>
        <v>1</v>
      </c>
      <c r="DB140">
        <f>ROUND((ROUND(AT140*CZ140,2)*ROUND(1.15,7)),6)</f>
        <v>14634.129499999999</v>
      </c>
      <c r="DC140">
        <f>ROUND((ROUND(AT140*AG140,2)*ROUND(1.15,7)),6)</f>
        <v>0</v>
      </c>
      <c r="DD140" t="s">
        <v>332</v>
      </c>
      <c r="DE140" t="s">
        <v>332</v>
      </c>
      <c r="DF140">
        <f>ROUND(ROUND(AE140,2)*CX140,2)</f>
        <v>0</v>
      </c>
      <c r="DG140">
        <f t="shared" si="58"/>
        <v>0</v>
      </c>
      <c r="DH140">
        <f t="shared" si="56"/>
        <v>0</v>
      </c>
      <c r="DI140">
        <f t="shared" si="57"/>
        <v>292.68</v>
      </c>
      <c r="DJ140">
        <f>DI140</f>
        <v>292.68</v>
      </c>
      <c r="DK140">
        <v>1</v>
      </c>
      <c r="DL140" t="s">
        <v>332</v>
      </c>
      <c r="DM140">
        <v>0</v>
      </c>
      <c r="DN140" t="s">
        <v>332</v>
      </c>
      <c r="DO140">
        <v>0</v>
      </c>
    </row>
    <row r="141" spans="1:119" x14ac:dyDescent="0.25">
      <c r="A141">
        <f>ROW(Source!A134)</f>
        <v>134</v>
      </c>
      <c r="B141">
        <v>78397139</v>
      </c>
      <c r="C141">
        <v>78397833</v>
      </c>
      <c r="D141">
        <v>28074654</v>
      </c>
      <c r="E141">
        <v>117</v>
      </c>
      <c r="F141">
        <v>1</v>
      </c>
      <c r="G141">
        <v>1</v>
      </c>
      <c r="H141">
        <v>1</v>
      </c>
      <c r="I141" t="s">
        <v>647</v>
      </c>
      <c r="J141" t="s">
        <v>332</v>
      </c>
      <c r="K141" t="s">
        <v>648</v>
      </c>
      <c r="L141">
        <v>1191</v>
      </c>
      <c r="N141">
        <v>1013</v>
      </c>
      <c r="O141" t="s">
        <v>31</v>
      </c>
      <c r="P141" t="s">
        <v>31</v>
      </c>
      <c r="Q141">
        <v>1</v>
      </c>
      <c r="W141">
        <v>0</v>
      </c>
      <c r="X141">
        <v>-1417349443</v>
      </c>
      <c r="Y141">
        <f>(AT141*ROUND(1.25,7))</f>
        <v>0.46250000000000002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332</v>
      </c>
      <c r="AT141">
        <v>0.37</v>
      </c>
      <c r="AU141" t="s">
        <v>401</v>
      </c>
      <c r="AV141">
        <v>2</v>
      </c>
      <c r="AW141">
        <v>2</v>
      </c>
      <c r="AX141">
        <v>78397845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ROUND(Y141*Source!I134,7)</f>
        <v>9.2499999999999995E-3</v>
      </c>
      <c r="CY141">
        <f>AD141</f>
        <v>0</v>
      </c>
      <c r="CZ141">
        <f>AH141</f>
        <v>0</v>
      </c>
      <c r="DA141">
        <f>AL141</f>
        <v>1</v>
      </c>
      <c r="DB141">
        <f>ROUND((ROUND(AT141*CZ141,2)*ROUND(1.25,7)),6)</f>
        <v>0</v>
      </c>
      <c r="DC141">
        <f>ROUND((ROUND(AT141*AG141,2)*ROUND(1.25,7)),6)</f>
        <v>0</v>
      </c>
      <c r="DD141" t="s">
        <v>332</v>
      </c>
      <c r="DE141" t="s">
        <v>332</v>
      </c>
      <c r="DF141">
        <f>ROUND(ROUND(AE141,2)*CX141,2)</f>
        <v>0</v>
      </c>
      <c r="DG141">
        <f t="shared" si="58"/>
        <v>0</v>
      </c>
      <c r="DH141">
        <f t="shared" si="56"/>
        <v>0</v>
      </c>
      <c r="DI141">
        <f t="shared" si="57"/>
        <v>0</v>
      </c>
      <c r="DJ141">
        <f>DI141</f>
        <v>0</v>
      </c>
      <c r="DK141">
        <v>0</v>
      </c>
      <c r="DL141" t="s">
        <v>332</v>
      </c>
      <c r="DM141">
        <v>0</v>
      </c>
      <c r="DN141" t="s">
        <v>332</v>
      </c>
      <c r="DO141">
        <v>0</v>
      </c>
    </row>
    <row r="142" spans="1:119" x14ac:dyDescent="0.25">
      <c r="A142">
        <f>ROW(Source!A134)</f>
        <v>134</v>
      </c>
      <c r="B142">
        <v>78397139</v>
      </c>
      <c r="C142">
        <v>78397833</v>
      </c>
      <c r="D142">
        <v>77431339</v>
      </c>
      <c r="E142">
        <v>1</v>
      </c>
      <c r="F142">
        <v>1</v>
      </c>
      <c r="G142">
        <v>1</v>
      </c>
      <c r="H142">
        <v>2</v>
      </c>
      <c r="I142" t="s">
        <v>62</v>
      </c>
      <c r="J142" t="s">
        <v>650</v>
      </c>
      <c r="K142" t="s">
        <v>63</v>
      </c>
      <c r="L142">
        <v>1368</v>
      </c>
      <c r="N142">
        <v>1011</v>
      </c>
      <c r="O142" t="s">
        <v>59</v>
      </c>
      <c r="P142" t="s">
        <v>59</v>
      </c>
      <c r="Q142">
        <v>1</v>
      </c>
      <c r="W142">
        <v>0</v>
      </c>
      <c r="X142">
        <v>-849950259</v>
      </c>
      <c r="Y142">
        <f>(AT142*ROUND(1.25,7))</f>
        <v>0.46250000000000002</v>
      </c>
      <c r="AA142">
        <v>0</v>
      </c>
      <c r="AB142">
        <v>643.29</v>
      </c>
      <c r="AC142">
        <v>722.05</v>
      </c>
      <c r="AD142">
        <v>0</v>
      </c>
      <c r="AE142">
        <v>0</v>
      </c>
      <c r="AF142">
        <v>643.29</v>
      </c>
      <c r="AG142">
        <v>722.05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332</v>
      </c>
      <c r="AT142">
        <v>0.37</v>
      </c>
      <c r="AU142" t="s">
        <v>401</v>
      </c>
      <c r="AV142">
        <v>1</v>
      </c>
      <c r="AW142">
        <v>2</v>
      </c>
      <c r="AX142">
        <v>78397846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238.01730000000001</v>
      </c>
      <c r="BL142">
        <v>267.1585</v>
      </c>
      <c r="BM142">
        <v>0</v>
      </c>
      <c r="BN142">
        <v>0</v>
      </c>
      <c r="BO142">
        <v>0.37</v>
      </c>
      <c r="BP142">
        <v>1</v>
      </c>
      <c r="BQ142">
        <v>0</v>
      </c>
      <c r="BR142">
        <v>297.52162499999997</v>
      </c>
      <c r="BS142">
        <v>333.948125</v>
      </c>
      <c r="BT142">
        <v>0</v>
      </c>
      <c r="BU142">
        <v>0</v>
      </c>
      <c r="BV142">
        <v>0.46250000000000002</v>
      </c>
      <c r="BW142">
        <v>1</v>
      </c>
      <c r="CV142">
        <v>0</v>
      </c>
      <c r="CW142">
        <f>ROUND(Y142*Source!I134*DO142,7)</f>
        <v>9.2499999999999995E-3</v>
      </c>
      <c r="CX142">
        <f>ROUND(Y142*Source!I134,7)</f>
        <v>9.2499999999999995E-3</v>
      </c>
      <c r="CY142">
        <f>AB142</f>
        <v>643.29</v>
      </c>
      <c r="CZ142">
        <f>AF142</f>
        <v>643.29</v>
      </c>
      <c r="DA142">
        <f>AJ142</f>
        <v>1</v>
      </c>
      <c r="DB142">
        <f>ROUND((ROUND(AT142*CZ142,2)*ROUND(1.25,7)),6)</f>
        <v>297.52499999999998</v>
      </c>
      <c r="DC142">
        <f>ROUND((ROUND(AT142*AG142,2)*ROUND(1.25,7)),6)</f>
        <v>333.95</v>
      </c>
      <c r="DD142" t="s">
        <v>332</v>
      </c>
      <c r="DE142" t="s">
        <v>332</v>
      </c>
      <c r="DF142">
        <f>ROUND(ROUND(AE142,2)*CX142,2)</f>
        <v>0</v>
      </c>
      <c r="DG142">
        <f t="shared" si="58"/>
        <v>5.95</v>
      </c>
      <c r="DH142">
        <f t="shared" si="56"/>
        <v>6.68</v>
      </c>
      <c r="DI142">
        <f t="shared" si="57"/>
        <v>0</v>
      </c>
      <c r="DJ142">
        <f>DG142+DH142</f>
        <v>12.63</v>
      </c>
      <c r="DK142">
        <v>1</v>
      </c>
      <c r="DL142" t="s">
        <v>64</v>
      </c>
      <c r="DM142">
        <v>4</v>
      </c>
      <c r="DN142" t="s">
        <v>31</v>
      </c>
      <c r="DO142">
        <v>1</v>
      </c>
    </row>
    <row r="143" spans="1:119" x14ac:dyDescent="0.25">
      <c r="A143">
        <f>ROW(Source!A134)</f>
        <v>134</v>
      </c>
      <c r="B143">
        <v>78397139</v>
      </c>
      <c r="C143">
        <v>78397833</v>
      </c>
      <c r="D143">
        <v>77432088</v>
      </c>
      <c r="E143">
        <v>1</v>
      </c>
      <c r="F143">
        <v>1</v>
      </c>
      <c r="G143">
        <v>1</v>
      </c>
      <c r="H143">
        <v>2</v>
      </c>
      <c r="I143" t="s">
        <v>154</v>
      </c>
      <c r="J143" t="s">
        <v>666</v>
      </c>
      <c r="K143" t="s">
        <v>155</v>
      </c>
      <c r="L143">
        <v>1368</v>
      </c>
      <c r="N143">
        <v>1011</v>
      </c>
      <c r="O143" t="s">
        <v>59</v>
      </c>
      <c r="P143" t="s">
        <v>59</v>
      </c>
      <c r="Q143">
        <v>1</v>
      </c>
      <c r="W143">
        <v>0</v>
      </c>
      <c r="X143">
        <v>1277503555</v>
      </c>
      <c r="Y143">
        <f>(AT143*ROUND(1.25,7))</f>
        <v>1.4750000000000001</v>
      </c>
      <c r="AA143">
        <v>0</v>
      </c>
      <c r="AB143">
        <v>31.02</v>
      </c>
      <c r="AC143">
        <v>0</v>
      </c>
      <c r="AD143">
        <v>0</v>
      </c>
      <c r="AE143">
        <v>0</v>
      </c>
      <c r="AF143">
        <v>21.39</v>
      </c>
      <c r="AG143">
        <v>0</v>
      </c>
      <c r="AH143">
        <v>0</v>
      </c>
      <c r="AI143">
        <v>1</v>
      </c>
      <c r="AJ143">
        <v>1.45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332</v>
      </c>
      <c r="AT143">
        <v>1.18</v>
      </c>
      <c r="AU143" t="s">
        <v>401</v>
      </c>
      <c r="AV143">
        <v>1</v>
      </c>
      <c r="AW143">
        <v>2</v>
      </c>
      <c r="AX143">
        <v>78397847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25.240200000000002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0</v>
      </c>
      <c r="BR143">
        <v>31.550249999999998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f>ROUND(Y143*Source!I134*DO143,7)</f>
        <v>0</v>
      </c>
      <c r="CX143">
        <f>ROUND(Y143*Source!I134,7)</f>
        <v>2.9499999999999998E-2</v>
      </c>
      <c r="CY143">
        <f>AB143</f>
        <v>31.02</v>
      </c>
      <c r="CZ143">
        <f>AF143</f>
        <v>21.39</v>
      </c>
      <c r="DA143">
        <f>AJ143</f>
        <v>1.45</v>
      </c>
      <c r="DB143">
        <f>ROUND((ROUND(AT143*CZ143,2)*ROUND(1.25,7)),6)</f>
        <v>31.55</v>
      </c>
      <c r="DC143">
        <f>ROUND((ROUND(AT143*AG143,2)*ROUND(1.25,7)),6)</f>
        <v>0</v>
      </c>
      <c r="DD143" t="s">
        <v>332</v>
      </c>
      <c r="DE143" t="s">
        <v>332</v>
      </c>
      <c r="DF143">
        <f>ROUND(ROUND(AE143,2)*CX143,2)</f>
        <v>0</v>
      </c>
      <c r="DG143">
        <f>ROUND(ROUND(AF143*AJ143,2)*CX143,2)</f>
        <v>0.92</v>
      </c>
      <c r="DH143">
        <f t="shared" si="56"/>
        <v>0</v>
      </c>
      <c r="DI143">
        <f t="shared" si="57"/>
        <v>0</v>
      </c>
      <c r="DJ143">
        <f>DG143+DH143</f>
        <v>0.92</v>
      </c>
      <c r="DK143">
        <v>0</v>
      </c>
      <c r="DL143" t="s">
        <v>332</v>
      </c>
      <c r="DM143">
        <v>0</v>
      </c>
      <c r="DN143" t="s">
        <v>332</v>
      </c>
      <c r="DO143">
        <v>0</v>
      </c>
    </row>
    <row r="144" spans="1:119" x14ac:dyDescent="0.25">
      <c r="A144">
        <f>ROW(Source!A134)</f>
        <v>134</v>
      </c>
      <c r="B144">
        <v>78397139</v>
      </c>
      <c r="C144">
        <v>78397833</v>
      </c>
      <c r="D144">
        <v>77499974</v>
      </c>
      <c r="E144">
        <v>1</v>
      </c>
      <c r="F144">
        <v>1</v>
      </c>
      <c r="G144">
        <v>1</v>
      </c>
      <c r="H144">
        <v>3</v>
      </c>
      <c r="I144" t="s">
        <v>156</v>
      </c>
      <c r="J144" t="s">
        <v>667</v>
      </c>
      <c r="K144" t="s">
        <v>157</v>
      </c>
      <c r="L144">
        <v>1348</v>
      </c>
      <c r="N144">
        <v>1009</v>
      </c>
      <c r="O144" t="s">
        <v>87</v>
      </c>
      <c r="P144" t="s">
        <v>87</v>
      </c>
      <c r="Q144">
        <v>1000</v>
      </c>
      <c r="W144">
        <v>0</v>
      </c>
      <c r="X144">
        <v>-112131680</v>
      </c>
      <c r="Y144">
        <f t="shared" ref="Y144:Y156" si="59">AT144</f>
        <v>4.0000000000000003E-5</v>
      </c>
      <c r="AA144">
        <v>339547.93</v>
      </c>
      <c r="AB144">
        <v>0</v>
      </c>
      <c r="AC144">
        <v>0</v>
      </c>
      <c r="AD144">
        <v>0</v>
      </c>
      <c r="AE144">
        <v>263215.45</v>
      </c>
      <c r="AF144">
        <v>0</v>
      </c>
      <c r="AG144">
        <v>0</v>
      </c>
      <c r="AH144">
        <v>0</v>
      </c>
      <c r="AI144">
        <v>1.29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332</v>
      </c>
      <c r="AT144">
        <v>4.0000000000000003E-5</v>
      </c>
      <c r="AU144" t="s">
        <v>332</v>
      </c>
      <c r="AV144">
        <v>0</v>
      </c>
      <c r="AW144">
        <v>2</v>
      </c>
      <c r="AX144">
        <v>78397848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10.528618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10.528618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ROUND(Y144*Source!I134,7)</f>
        <v>7.9999999999999996E-7</v>
      </c>
      <c r="CY144">
        <f t="shared" ref="CY144:CY149" si="60">AA144</f>
        <v>339547.93</v>
      </c>
      <c r="CZ144">
        <f t="shared" ref="CZ144:CZ149" si="61">AE144</f>
        <v>263215.45</v>
      </c>
      <c r="DA144">
        <f t="shared" ref="DA144:DA149" si="62">AI144</f>
        <v>1.29</v>
      </c>
      <c r="DB144">
        <f t="shared" ref="DB144:DB156" si="63">ROUND(ROUND(AT144*CZ144,2),6)</f>
        <v>10.53</v>
      </c>
      <c r="DC144">
        <f t="shared" ref="DC144:DC156" si="64">ROUND(ROUND(AT144*AG144,2),6)</f>
        <v>0</v>
      </c>
      <c r="DD144" t="s">
        <v>332</v>
      </c>
      <c r="DE144" t="s">
        <v>332</v>
      </c>
      <c r="DF144">
        <f>ROUND(ROUND(AE144*AI144,2)*CX144,2)</f>
        <v>0.27</v>
      </c>
      <c r="DG144">
        <f t="shared" ref="DG144:DG151" si="65">ROUND(ROUND(AF144,2)*CX144,2)</f>
        <v>0</v>
      </c>
      <c r="DH144">
        <f t="shared" si="56"/>
        <v>0</v>
      </c>
      <c r="DI144">
        <f t="shared" si="57"/>
        <v>0</v>
      </c>
      <c r="DJ144">
        <f t="shared" ref="DJ144:DJ149" si="66">DF144</f>
        <v>0.27</v>
      </c>
      <c r="DK144">
        <v>0</v>
      </c>
      <c r="DL144" t="s">
        <v>332</v>
      </c>
      <c r="DM144">
        <v>0</v>
      </c>
      <c r="DN144" t="s">
        <v>332</v>
      </c>
      <c r="DO144">
        <v>0</v>
      </c>
    </row>
    <row r="145" spans="1:119" x14ac:dyDescent="0.25">
      <c r="A145">
        <f>ROW(Source!A134)</f>
        <v>134</v>
      </c>
      <c r="B145">
        <v>78397139</v>
      </c>
      <c r="C145">
        <v>78397833</v>
      </c>
      <c r="D145">
        <v>77506748</v>
      </c>
      <c r="E145">
        <v>1</v>
      </c>
      <c r="F145">
        <v>1</v>
      </c>
      <c r="G145">
        <v>1</v>
      </c>
      <c r="H145">
        <v>3</v>
      </c>
      <c r="I145" t="s">
        <v>158</v>
      </c>
      <c r="J145" t="s">
        <v>668</v>
      </c>
      <c r="K145" t="s">
        <v>159</v>
      </c>
      <c r="L145">
        <v>1348</v>
      </c>
      <c r="N145">
        <v>1009</v>
      </c>
      <c r="O145" t="s">
        <v>87</v>
      </c>
      <c r="P145" t="s">
        <v>87</v>
      </c>
      <c r="Q145">
        <v>1000</v>
      </c>
      <c r="W145">
        <v>0</v>
      </c>
      <c r="X145">
        <v>-1626911935</v>
      </c>
      <c r="Y145">
        <f t="shared" si="59"/>
        <v>1.09E-2</v>
      </c>
      <c r="AA145">
        <v>66804.899999999994</v>
      </c>
      <c r="AB145">
        <v>0</v>
      </c>
      <c r="AC145">
        <v>0</v>
      </c>
      <c r="AD145">
        <v>0</v>
      </c>
      <c r="AE145">
        <v>89073.2</v>
      </c>
      <c r="AF145">
        <v>0</v>
      </c>
      <c r="AG145">
        <v>0</v>
      </c>
      <c r="AH145">
        <v>0</v>
      </c>
      <c r="AI145">
        <v>0.75</v>
      </c>
      <c r="AJ145">
        <v>1</v>
      </c>
      <c r="AK145">
        <v>1</v>
      </c>
      <c r="AL145">
        <v>1</v>
      </c>
      <c r="AM145">
        <v>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332</v>
      </c>
      <c r="AT145">
        <v>1.09E-2</v>
      </c>
      <c r="AU145" t="s">
        <v>332</v>
      </c>
      <c r="AV145">
        <v>0</v>
      </c>
      <c r="AW145">
        <v>2</v>
      </c>
      <c r="AX145">
        <v>78397849</v>
      </c>
      <c r="AY145">
        <v>1</v>
      </c>
      <c r="AZ145">
        <v>0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970.89787999999999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1</v>
      </c>
      <c r="BQ145">
        <v>970.89787999999999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1</v>
      </c>
      <c r="CV145">
        <v>0</v>
      </c>
      <c r="CW145">
        <v>0</v>
      </c>
      <c r="CX145">
        <f>ROUND(Y145*Source!I134,7)</f>
        <v>2.1800000000000001E-4</v>
      </c>
      <c r="CY145">
        <f t="shared" si="60"/>
        <v>66804.899999999994</v>
      </c>
      <c r="CZ145">
        <f t="shared" si="61"/>
        <v>89073.2</v>
      </c>
      <c r="DA145">
        <f t="shared" si="62"/>
        <v>0.75</v>
      </c>
      <c r="DB145">
        <f t="shared" si="63"/>
        <v>970.9</v>
      </c>
      <c r="DC145">
        <f t="shared" si="64"/>
        <v>0</v>
      </c>
      <c r="DD145" t="s">
        <v>332</v>
      </c>
      <c r="DE145" t="s">
        <v>332</v>
      </c>
      <c r="DF145">
        <f>ROUND(ROUND(AE145*AI145,2)*CX145,2)</f>
        <v>14.56</v>
      </c>
      <c r="DG145">
        <f t="shared" si="65"/>
        <v>0</v>
      </c>
      <c r="DH145">
        <f t="shared" si="56"/>
        <v>0</v>
      </c>
      <c r="DI145">
        <f t="shared" si="57"/>
        <v>0</v>
      </c>
      <c r="DJ145">
        <f t="shared" si="66"/>
        <v>14.56</v>
      </c>
      <c r="DK145">
        <v>0</v>
      </c>
      <c r="DL145" t="s">
        <v>332</v>
      </c>
      <c r="DM145">
        <v>0</v>
      </c>
      <c r="DN145" t="s">
        <v>332</v>
      </c>
      <c r="DO145">
        <v>0</v>
      </c>
    </row>
    <row r="146" spans="1:119" x14ac:dyDescent="0.25">
      <c r="A146">
        <f>ROW(Source!A134)</f>
        <v>134</v>
      </c>
      <c r="B146">
        <v>78397139</v>
      </c>
      <c r="C146">
        <v>78397833</v>
      </c>
      <c r="D146">
        <v>77506800</v>
      </c>
      <c r="E146">
        <v>1</v>
      </c>
      <c r="F146">
        <v>1</v>
      </c>
      <c r="G146">
        <v>1</v>
      </c>
      <c r="H146">
        <v>3</v>
      </c>
      <c r="I146" t="s">
        <v>160</v>
      </c>
      <c r="J146" t="s">
        <v>669</v>
      </c>
      <c r="K146" t="s">
        <v>161</v>
      </c>
      <c r="L146">
        <v>1348</v>
      </c>
      <c r="N146">
        <v>1009</v>
      </c>
      <c r="O146" t="s">
        <v>87</v>
      </c>
      <c r="P146" t="s">
        <v>87</v>
      </c>
      <c r="Q146">
        <v>1000</v>
      </c>
      <c r="W146">
        <v>0</v>
      </c>
      <c r="X146">
        <v>-803432117</v>
      </c>
      <c r="Y146">
        <f t="shared" si="59"/>
        <v>1.1000000000000001E-3</v>
      </c>
      <c r="AA146">
        <v>121801.16</v>
      </c>
      <c r="AB146">
        <v>0</v>
      </c>
      <c r="AC146">
        <v>0</v>
      </c>
      <c r="AD146">
        <v>0</v>
      </c>
      <c r="AE146">
        <v>129575.7</v>
      </c>
      <c r="AF146">
        <v>0</v>
      </c>
      <c r="AG146">
        <v>0</v>
      </c>
      <c r="AH146">
        <v>0</v>
      </c>
      <c r="AI146">
        <v>0.94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332</v>
      </c>
      <c r="AT146">
        <v>1.1000000000000001E-3</v>
      </c>
      <c r="AU146" t="s">
        <v>332</v>
      </c>
      <c r="AV146">
        <v>0</v>
      </c>
      <c r="AW146">
        <v>2</v>
      </c>
      <c r="AX146">
        <v>78397850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142.53326999999999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142.53326999999999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ROUND(Y146*Source!I134,7)</f>
        <v>2.1999999999999999E-5</v>
      </c>
      <c r="CY146">
        <f t="shared" si="60"/>
        <v>121801.16</v>
      </c>
      <c r="CZ146">
        <f t="shared" si="61"/>
        <v>129575.7</v>
      </c>
      <c r="DA146">
        <f t="shared" si="62"/>
        <v>0.94</v>
      </c>
      <c r="DB146">
        <f t="shared" si="63"/>
        <v>142.53</v>
      </c>
      <c r="DC146">
        <f t="shared" si="64"/>
        <v>0</v>
      </c>
      <c r="DD146" t="s">
        <v>332</v>
      </c>
      <c r="DE146" t="s">
        <v>332</v>
      </c>
      <c r="DF146">
        <f>ROUND(ROUND(AE146*AI146,2)*CX146,2)</f>
        <v>2.68</v>
      </c>
      <c r="DG146">
        <f t="shared" si="65"/>
        <v>0</v>
      </c>
      <c r="DH146">
        <f t="shared" si="56"/>
        <v>0</v>
      </c>
      <c r="DI146">
        <f t="shared" si="57"/>
        <v>0</v>
      </c>
      <c r="DJ146">
        <f t="shared" si="66"/>
        <v>2.68</v>
      </c>
      <c r="DK146">
        <v>0</v>
      </c>
      <c r="DL146" t="s">
        <v>332</v>
      </c>
      <c r="DM146">
        <v>0</v>
      </c>
      <c r="DN146" t="s">
        <v>332</v>
      </c>
      <c r="DO146">
        <v>0</v>
      </c>
    </row>
    <row r="147" spans="1:119" x14ac:dyDescent="0.25">
      <c r="A147">
        <f>ROW(Source!A134)</f>
        <v>134</v>
      </c>
      <c r="B147">
        <v>78397139</v>
      </c>
      <c r="C147">
        <v>78397833</v>
      </c>
      <c r="D147">
        <v>77506801</v>
      </c>
      <c r="E147">
        <v>1</v>
      </c>
      <c r="F147">
        <v>1</v>
      </c>
      <c r="G147">
        <v>1</v>
      </c>
      <c r="H147">
        <v>3</v>
      </c>
      <c r="I147" t="s">
        <v>162</v>
      </c>
      <c r="J147" t="s">
        <v>670</v>
      </c>
      <c r="K147" t="s">
        <v>163</v>
      </c>
      <c r="L147">
        <v>1348</v>
      </c>
      <c r="N147">
        <v>1009</v>
      </c>
      <c r="O147" t="s">
        <v>87</v>
      </c>
      <c r="P147" t="s">
        <v>87</v>
      </c>
      <c r="Q147">
        <v>1000</v>
      </c>
      <c r="W147">
        <v>0</v>
      </c>
      <c r="X147">
        <v>-1253800806</v>
      </c>
      <c r="Y147">
        <f t="shared" si="59"/>
        <v>4.0000000000000001E-3</v>
      </c>
      <c r="AA147">
        <v>82010.960000000006</v>
      </c>
      <c r="AB147">
        <v>0</v>
      </c>
      <c r="AC147">
        <v>0</v>
      </c>
      <c r="AD147">
        <v>0</v>
      </c>
      <c r="AE147">
        <v>87245.7</v>
      </c>
      <c r="AF147">
        <v>0</v>
      </c>
      <c r="AG147">
        <v>0</v>
      </c>
      <c r="AH147">
        <v>0</v>
      </c>
      <c r="AI147">
        <v>0.94</v>
      </c>
      <c r="AJ147">
        <v>1</v>
      </c>
      <c r="AK147">
        <v>1</v>
      </c>
      <c r="AL147">
        <v>1</v>
      </c>
      <c r="AM147">
        <v>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332</v>
      </c>
      <c r="AT147">
        <v>4.0000000000000001E-3</v>
      </c>
      <c r="AU147" t="s">
        <v>332</v>
      </c>
      <c r="AV147">
        <v>0</v>
      </c>
      <c r="AW147">
        <v>2</v>
      </c>
      <c r="AX147">
        <v>78397851</v>
      </c>
      <c r="AY147">
        <v>1</v>
      </c>
      <c r="AZ147">
        <v>0</v>
      </c>
      <c r="BA147">
        <v>147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348.9828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348.9828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v>0</v>
      </c>
      <c r="CX147">
        <f>ROUND(Y147*Source!I134,7)</f>
        <v>8.0000000000000007E-5</v>
      </c>
      <c r="CY147">
        <f t="shared" si="60"/>
        <v>82010.960000000006</v>
      </c>
      <c r="CZ147">
        <f t="shared" si="61"/>
        <v>87245.7</v>
      </c>
      <c r="DA147">
        <f t="shared" si="62"/>
        <v>0.94</v>
      </c>
      <c r="DB147">
        <f t="shared" si="63"/>
        <v>348.98</v>
      </c>
      <c r="DC147">
        <f t="shared" si="64"/>
        <v>0</v>
      </c>
      <c r="DD147" t="s">
        <v>332</v>
      </c>
      <c r="DE147" t="s">
        <v>332</v>
      </c>
      <c r="DF147">
        <f>ROUND(ROUND(AE147*AI147,2)*CX147,2)</f>
        <v>6.56</v>
      </c>
      <c r="DG147">
        <f t="shared" si="65"/>
        <v>0</v>
      </c>
      <c r="DH147">
        <f t="shared" si="56"/>
        <v>0</v>
      </c>
      <c r="DI147">
        <f t="shared" si="57"/>
        <v>0</v>
      </c>
      <c r="DJ147">
        <f t="shared" si="66"/>
        <v>6.56</v>
      </c>
      <c r="DK147">
        <v>0</v>
      </c>
      <c r="DL147" t="s">
        <v>332</v>
      </c>
      <c r="DM147">
        <v>0</v>
      </c>
      <c r="DN147" t="s">
        <v>332</v>
      </c>
      <c r="DO147">
        <v>0</v>
      </c>
    </row>
    <row r="148" spans="1:119" x14ac:dyDescent="0.25">
      <c r="A148">
        <f>ROW(Source!A134)</f>
        <v>134</v>
      </c>
      <c r="B148">
        <v>78397139</v>
      </c>
      <c r="C148">
        <v>78397833</v>
      </c>
      <c r="D148">
        <v>77506958</v>
      </c>
      <c r="E148">
        <v>1</v>
      </c>
      <c r="F148">
        <v>1</v>
      </c>
      <c r="G148">
        <v>1</v>
      </c>
      <c r="H148">
        <v>3</v>
      </c>
      <c r="I148" t="s">
        <v>164</v>
      </c>
      <c r="J148" t="s">
        <v>671</v>
      </c>
      <c r="K148" t="s">
        <v>165</v>
      </c>
      <c r="L148">
        <v>1348</v>
      </c>
      <c r="N148">
        <v>1009</v>
      </c>
      <c r="O148" t="s">
        <v>87</v>
      </c>
      <c r="P148" t="s">
        <v>87</v>
      </c>
      <c r="Q148">
        <v>1000</v>
      </c>
      <c r="W148">
        <v>0</v>
      </c>
      <c r="X148">
        <v>-1548096700</v>
      </c>
      <c r="Y148">
        <f t="shared" si="59"/>
        <v>3.9E-2</v>
      </c>
      <c r="AA148">
        <v>75628.100000000006</v>
      </c>
      <c r="AB148">
        <v>0</v>
      </c>
      <c r="AC148">
        <v>0</v>
      </c>
      <c r="AD148">
        <v>0</v>
      </c>
      <c r="AE148">
        <v>75628.100000000006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332</v>
      </c>
      <c r="AT148">
        <v>3.9E-2</v>
      </c>
      <c r="AU148" t="s">
        <v>332</v>
      </c>
      <c r="AV148">
        <v>0</v>
      </c>
      <c r="AW148">
        <v>2</v>
      </c>
      <c r="AX148">
        <v>78397852</v>
      </c>
      <c r="AY148">
        <v>1</v>
      </c>
      <c r="AZ148">
        <v>0</v>
      </c>
      <c r="BA148">
        <v>148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2949.4958999999999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2949.4958999999999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ROUND(Y148*Source!I134,7)</f>
        <v>7.7999999999999999E-4</v>
      </c>
      <c r="CY148">
        <f t="shared" si="60"/>
        <v>75628.100000000006</v>
      </c>
      <c r="CZ148">
        <f t="shared" si="61"/>
        <v>75628.100000000006</v>
      </c>
      <c r="DA148">
        <f t="shared" si="62"/>
        <v>1</v>
      </c>
      <c r="DB148">
        <f t="shared" si="63"/>
        <v>2949.5</v>
      </c>
      <c r="DC148">
        <f t="shared" si="64"/>
        <v>0</v>
      </c>
      <c r="DD148" t="s">
        <v>332</v>
      </c>
      <c r="DE148" t="s">
        <v>332</v>
      </c>
      <c r="DF148">
        <f>ROUND(ROUND(AE148,2)*CX148,2)</f>
        <v>58.99</v>
      </c>
      <c r="DG148">
        <f t="shared" si="65"/>
        <v>0</v>
      </c>
      <c r="DH148">
        <f t="shared" si="56"/>
        <v>0</v>
      </c>
      <c r="DI148">
        <f t="shared" si="57"/>
        <v>0</v>
      </c>
      <c r="DJ148">
        <f t="shared" si="66"/>
        <v>58.99</v>
      </c>
      <c r="DK148">
        <v>1</v>
      </c>
      <c r="DL148" t="s">
        <v>332</v>
      </c>
      <c r="DM148">
        <v>0</v>
      </c>
      <c r="DN148" t="s">
        <v>332</v>
      </c>
      <c r="DO148">
        <v>0</v>
      </c>
    </row>
    <row r="149" spans="1:119" x14ac:dyDescent="0.25">
      <c r="A149">
        <f>ROW(Source!A134)</f>
        <v>134</v>
      </c>
      <c r="B149">
        <v>78397139</v>
      </c>
      <c r="C149">
        <v>78397833</v>
      </c>
      <c r="D149">
        <v>77511641</v>
      </c>
      <c r="E149">
        <v>1</v>
      </c>
      <c r="F149">
        <v>1</v>
      </c>
      <c r="G149">
        <v>1</v>
      </c>
      <c r="H149">
        <v>3</v>
      </c>
      <c r="I149" t="s">
        <v>545</v>
      </c>
      <c r="J149" t="s">
        <v>547</v>
      </c>
      <c r="K149" t="s">
        <v>546</v>
      </c>
      <c r="L149">
        <v>1301</v>
      </c>
      <c r="N149">
        <v>1003</v>
      </c>
      <c r="O149" t="s">
        <v>69</v>
      </c>
      <c r="P149" t="s">
        <v>69</v>
      </c>
      <c r="Q149">
        <v>1</v>
      </c>
      <c r="W149">
        <v>0</v>
      </c>
      <c r="X149">
        <v>1461781127</v>
      </c>
      <c r="Y149">
        <f t="shared" si="59"/>
        <v>103</v>
      </c>
      <c r="AA149">
        <v>469.83</v>
      </c>
      <c r="AB149">
        <v>0</v>
      </c>
      <c r="AC149">
        <v>0</v>
      </c>
      <c r="AD149">
        <v>0</v>
      </c>
      <c r="AE149">
        <v>340.46</v>
      </c>
      <c r="AF149">
        <v>0</v>
      </c>
      <c r="AG149">
        <v>0</v>
      </c>
      <c r="AH149">
        <v>0</v>
      </c>
      <c r="AI149">
        <v>1.38</v>
      </c>
      <c r="AJ149">
        <v>1</v>
      </c>
      <c r="AK149">
        <v>1</v>
      </c>
      <c r="AL149">
        <v>1</v>
      </c>
      <c r="AM149">
        <v>0</v>
      </c>
      <c r="AN149">
        <v>0</v>
      </c>
      <c r="AO149">
        <v>0</v>
      </c>
      <c r="AP149">
        <v>1</v>
      </c>
      <c r="AQ149">
        <v>0</v>
      </c>
      <c r="AR149">
        <v>0</v>
      </c>
      <c r="AS149" t="s">
        <v>332</v>
      </c>
      <c r="AT149">
        <v>103</v>
      </c>
      <c r="AU149" t="s">
        <v>332</v>
      </c>
      <c r="AV149">
        <v>0</v>
      </c>
      <c r="AW149">
        <v>1</v>
      </c>
      <c r="AX149">
        <v>-1</v>
      </c>
      <c r="AY149">
        <v>0</v>
      </c>
      <c r="AZ149">
        <v>0</v>
      </c>
      <c r="BA149" t="s">
        <v>332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ROUND(Y149*Source!I134,7)</f>
        <v>2.06</v>
      </c>
      <c r="CY149">
        <f t="shared" si="60"/>
        <v>469.83</v>
      </c>
      <c r="CZ149">
        <f t="shared" si="61"/>
        <v>340.46</v>
      </c>
      <c r="DA149">
        <f t="shared" si="62"/>
        <v>1.38</v>
      </c>
      <c r="DB149">
        <f t="shared" si="63"/>
        <v>35067.379999999997</v>
      </c>
      <c r="DC149">
        <f t="shared" si="64"/>
        <v>0</v>
      </c>
      <c r="DD149" t="s">
        <v>332</v>
      </c>
      <c r="DE149" t="s">
        <v>332</v>
      </c>
      <c r="DF149">
        <f>ROUND(ROUND(AE149*AI149,2)*CX149,2)</f>
        <v>967.85</v>
      </c>
      <c r="DG149">
        <f t="shared" si="65"/>
        <v>0</v>
      </c>
      <c r="DH149">
        <f t="shared" si="56"/>
        <v>0</v>
      </c>
      <c r="DI149">
        <f t="shared" si="57"/>
        <v>0</v>
      </c>
      <c r="DJ149">
        <f t="shared" si="66"/>
        <v>967.85</v>
      </c>
      <c r="DK149">
        <v>0</v>
      </c>
      <c r="DL149" t="s">
        <v>332</v>
      </c>
      <c r="DM149">
        <v>0</v>
      </c>
      <c r="DN149" t="s">
        <v>332</v>
      </c>
      <c r="DO149">
        <v>0</v>
      </c>
    </row>
    <row r="150" spans="1:119" x14ac:dyDescent="0.25">
      <c r="A150">
        <f>ROW(Source!A136)</f>
        <v>136</v>
      </c>
      <c r="B150">
        <v>78397139</v>
      </c>
      <c r="C150">
        <v>78397857</v>
      </c>
      <c r="D150">
        <v>28074705</v>
      </c>
      <c r="E150">
        <v>117</v>
      </c>
      <c r="F150">
        <v>1</v>
      </c>
      <c r="G150">
        <v>1</v>
      </c>
      <c r="H150">
        <v>1</v>
      </c>
      <c r="I150" t="s">
        <v>53</v>
      </c>
      <c r="J150" t="s">
        <v>332</v>
      </c>
      <c r="K150" t="s">
        <v>54</v>
      </c>
      <c r="L150">
        <v>1191</v>
      </c>
      <c r="N150">
        <v>1013</v>
      </c>
      <c r="O150" t="s">
        <v>31</v>
      </c>
      <c r="P150" t="s">
        <v>31</v>
      </c>
      <c r="Q150">
        <v>1</v>
      </c>
      <c r="W150">
        <v>0</v>
      </c>
      <c r="X150">
        <v>-715079457</v>
      </c>
      <c r="Y150">
        <f t="shared" si="59"/>
        <v>69.28</v>
      </c>
      <c r="AA150">
        <v>0</v>
      </c>
      <c r="AB150">
        <v>0</v>
      </c>
      <c r="AC150">
        <v>0</v>
      </c>
      <c r="AD150">
        <v>681.63</v>
      </c>
      <c r="AE150">
        <v>0</v>
      </c>
      <c r="AF150">
        <v>0</v>
      </c>
      <c r="AG150">
        <v>0</v>
      </c>
      <c r="AH150">
        <v>681.63</v>
      </c>
      <c r="AI150">
        <v>1</v>
      </c>
      <c r="AJ150">
        <v>1</v>
      </c>
      <c r="AK150">
        <v>1</v>
      </c>
      <c r="AL150">
        <v>1</v>
      </c>
      <c r="AM150">
        <v>-2</v>
      </c>
      <c r="AN150">
        <v>0</v>
      </c>
      <c r="AO150">
        <v>0</v>
      </c>
      <c r="AP150">
        <v>0</v>
      </c>
      <c r="AQ150">
        <v>1</v>
      </c>
      <c r="AR150">
        <v>0</v>
      </c>
      <c r="AS150" t="s">
        <v>332</v>
      </c>
      <c r="AT150">
        <v>69.28</v>
      </c>
      <c r="AU150" t="s">
        <v>332</v>
      </c>
      <c r="AV150">
        <v>1</v>
      </c>
      <c r="AW150">
        <v>2</v>
      </c>
      <c r="AX150">
        <v>78397863</v>
      </c>
      <c r="AY150">
        <v>1</v>
      </c>
      <c r="AZ150">
        <v>0</v>
      </c>
      <c r="BA150">
        <v>150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47223.326399999998</v>
      </c>
      <c r="BN150">
        <v>69.28</v>
      </c>
      <c r="BO150">
        <v>0</v>
      </c>
      <c r="BP150">
        <v>1</v>
      </c>
      <c r="BQ150">
        <v>0</v>
      </c>
      <c r="BR150">
        <v>0</v>
      </c>
      <c r="BS150">
        <v>0</v>
      </c>
      <c r="BT150">
        <v>47223.326399999998</v>
      </c>
      <c r="BU150">
        <v>69.28</v>
      </c>
      <c r="BV150">
        <v>0</v>
      </c>
      <c r="BW150">
        <v>1</v>
      </c>
      <c r="CU150">
        <f>ROUND(AT150*Source!I136*AH150*AL150,2)</f>
        <v>944.47</v>
      </c>
      <c r="CV150">
        <f>ROUND(Y150*Source!I136,7)</f>
        <v>1.3855999999999999</v>
      </c>
      <c r="CW150">
        <v>0</v>
      </c>
      <c r="CX150">
        <f>ROUND(Y150*Source!I136,7)</f>
        <v>1.3855999999999999</v>
      </c>
      <c r="CY150">
        <f>AD150</f>
        <v>681.63</v>
      </c>
      <c r="CZ150">
        <f>AH150</f>
        <v>681.63</v>
      </c>
      <c r="DA150">
        <f>AL150</f>
        <v>1</v>
      </c>
      <c r="DB150">
        <f t="shared" si="63"/>
        <v>47223.33</v>
      </c>
      <c r="DC150">
        <f t="shared" si="64"/>
        <v>0</v>
      </c>
      <c r="DD150" t="s">
        <v>332</v>
      </c>
      <c r="DE150" t="s">
        <v>332</v>
      </c>
      <c r="DF150">
        <f>ROUND(ROUND(AE150,2)*CX150,2)</f>
        <v>0</v>
      </c>
      <c r="DG150">
        <f t="shared" si="65"/>
        <v>0</v>
      </c>
      <c r="DH150">
        <f t="shared" si="56"/>
        <v>0</v>
      </c>
      <c r="DI150">
        <f t="shared" si="57"/>
        <v>944.47</v>
      </c>
      <c r="DJ150">
        <f>DI150</f>
        <v>944.47</v>
      </c>
      <c r="DK150">
        <v>1</v>
      </c>
      <c r="DL150" t="s">
        <v>332</v>
      </c>
      <c r="DM150">
        <v>0</v>
      </c>
      <c r="DN150" t="s">
        <v>332</v>
      </c>
      <c r="DO150">
        <v>0</v>
      </c>
    </row>
    <row r="151" spans="1:119" x14ac:dyDescent="0.25">
      <c r="A151">
        <f>ROW(Source!A136)</f>
        <v>136</v>
      </c>
      <c r="B151">
        <v>78397139</v>
      </c>
      <c r="C151">
        <v>78397857</v>
      </c>
      <c r="D151">
        <v>28074654</v>
      </c>
      <c r="E151">
        <v>117</v>
      </c>
      <c r="F151">
        <v>1</v>
      </c>
      <c r="G151">
        <v>1</v>
      </c>
      <c r="H151">
        <v>1</v>
      </c>
      <c r="I151" t="s">
        <v>647</v>
      </c>
      <c r="J151" t="s">
        <v>332</v>
      </c>
      <c r="K151" t="s">
        <v>648</v>
      </c>
      <c r="L151">
        <v>1191</v>
      </c>
      <c r="N151">
        <v>1013</v>
      </c>
      <c r="O151" t="s">
        <v>31</v>
      </c>
      <c r="P151" t="s">
        <v>31</v>
      </c>
      <c r="Q151">
        <v>1</v>
      </c>
      <c r="W151">
        <v>0</v>
      </c>
      <c r="X151">
        <v>-1417349443</v>
      </c>
      <c r="Y151">
        <f t="shared" si="59"/>
        <v>0.02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-2</v>
      </c>
      <c r="AN151">
        <v>0</v>
      </c>
      <c r="AO151">
        <v>0</v>
      </c>
      <c r="AP151">
        <v>0</v>
      </c>
      <c r="AQ151">
        <v>1</v>
      </c>
      <c r="AR151">
        <v>0</v>
      </c>
      <c r="AS151" t="s">
        <v>332</v>
      </c>
      <c r="AT151">
        <v>0.02</v>
      </c>
      <c r="AU151" t="s">
        <v>332</v>
      </c>
      <c r="AV151">
        <v>2</v>
      </c>
      <c r="AW151">
        <v>2</v>
      </c>
      <c r="AX151">
        <v>78397864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ROUND(Y151*Source!I136,7)</f>
        <v>4.0000000000000002E-4</v>
      </c>
      <c r="CY151">
        <f>AD151</f>
        <v>0</v>
      </c>
      <c r="CZ151">
        <f>AH151</f>
        <v>0</v>
      </c>
      <c r="DA151">
        <f>AL151</f>
        <v>1</v>
      </c>
      <c r="DB151">
        <f t="shared" si="63"/>
        <v>0</v>
      </c>
      <c r="DC151">
        <f t="shared" si="64"/>
        <v>0</v>
      </c>
      <c r="DD151" t="s">
        <v>332</v>
      </c>
      <c r="DE151" t="s">
        <v>332</v>
      </c>
      <c r="DF151">
        <f>ROUND(ROUND(AE151,2)*CX151,2)</f>
        <v>0</v>
      </c>
      <c r="DG151">
        <f t="shared" si="65"/>
        <v>0</v>
      </c>
      <c r="DH151">
        <f t="shared" si="56"/>
        <v>0</v>
      </c>
      <c r="DI151">
        <f t="shared" si="57"/>
        <v>0</v>
      </c>
      <c r="DJ151">
        <f>DI151</f>
        <v>0</v>
      </c>
      <c r="DK151">
        <v>0</v>
      </c>
      <c r="DL151" t="s">
        <v>332</v>
      </c>
      <c r="DM151">
        <v>0</v>
      </c>
      <c r="DN151" t="s">
        <v>332</v>
      </c>
      <c r="DO151">
        <v>0</v>
      </c>
    </row>
    <row r="152" spans="1:119" x14ac:dyDescent="0.25">
      <c r="A152">
        <f>ROW(Source!A136)</f>
        <v>136</v>
      </c>
      <c r="B152">
        <v>78397139</v>
      </c>
      <c r="C152">
        <v>78397857</v>
      </c>
      <c r="D152">
        <v>77430632</v>
      </c>
      <c r="E152">
        <v>1</v>
      </c>
      <c r="F152">
        <v>1</v>
      </c>
      <c r="G152">
        <v>1</v>
      </c>
      <c r="H152">
        <v>2</v>
      </c>
      <c r="I152" t="s">
        <v>57</v>
      </c>
      <c r="J152" t="s">
        <v>649</v>
      </c>
      <c r="K152" t="s">
        <v>58</v>
      </c>
      <c r="L152">
        <v>1368</v>
      </c>
      <c r="N152">
        <v>1011</v>
      </c>
      <c r="O152" t="s">
        <v>59</v>
      </c>
      <c r="P152" t="s">
        <v>59</v>
      </c>
      <c r="Q152">
        <v>1</v>
      </c>
      <c r="W152">
        <v>0</v>
      </c>
      <c r="X152">
        <v>945201097</v>
      </c>
      <c r="Y152">
        <f t="shared" si="59"/>
        <v>0.02</v>
      </c>
      <c r="AA152">
        <v>0</v>
      </c>
      <c r="AB152">
        <v>57.47</v>
      </c>
      <c r="AC152">
        <v>641.22</v>
      </c>
      <c r="AD152">
        <v>0</v>
      </c>
      <c r="AE152">
        <v>0</v>
      </c>
      <c r="AF152">
        <v>37.32</v>
      </c>
      <c r="AG152">
        <v>641.22</v>
      </c>
      <c r="AH152">
        <v>0</v>
      </c>
      <c r="AI152">
        <v>1</v>
      </c>
      <c r="AJ152">
        <v>1.54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0</v>
      </c>
      <c r="AQ152">
        <v>1</v>
      </c>
      <c r="AR152">
        <v>0</v>
      </c>
      <c r="AS152" t="s">
        <v>332</v>
      </c>
      <c r="AT152">
        <v>0.02</v>
      </c>
      <c r="AU152" t="s">
        <v>332</v>
      </c>
      <c r="AV152">
        <v>1</v>
      </c>
      <c r="AW152">
        <v>2</v>
      </c>
      <c r="AX152">
        <v>78397865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0.74639999999999995</v>
      </c>
      <c r="BL152">
        <v>12.824400000000001</v>
      </c>
      <c r="BM152">
        <v>0</v>
      </c>
      <c r="BN152">
        <v>0</v>
      </c>
      <c r="BO152">
        <v>0.02</v>
      </c>
      <c r="BP152">
        <v>1</v>
      </c>
      <c r="BQ152">
        <v>0</v>
      </c>
      <c r="BR152">
        <v>0.74639999999999995</v>
      </c>
      <c r="BS152">
        <v>12.824400000000001</v>
      </c>
      <c r="BT152">
        <v>0</v>
      </c>
      <c r="BU152">
        <v>0</v>
      </c>
      <c r="BV152">
        <v>0.02</v>
      </c>
      <c r="BW152">
        <v>1</v>
      </c>
      <c r="CV152">
        <v>0</v>
      </c>
      <c r="CW152">
        <f>ROUND(Y152*Source!I136*DO152,7)</f>
        <v>4.0000000000000002E-4</v>
      </c>
      <c r="CX152">
        <f>ROUND(Y152*Source!I136,7)</f>
        <v>4.0000000000000002E-4</v>
      </c>
      <c r="CY152">
        <f>AB152</f>
        <v>57.47</v>
      </c>
      <c r="CZ152">
        <f>AF152</f>
        <v>37.32</v>
      </c>
      <c r="DA152">
        <f>AJ152</f>
        <v>1.54</v>
      </c>
      <c r="DB152">
        <f t="shared" si="63"/>
        <v>0.75</v>
      </c>
      <c r="DC152">
        <f t="shared" si="64"/>
        <v>12.82</v>
      </c>
      <c r="DD152" t="s">
        <v>332</v>
      </c>
      <c r="DE152" t="s">
        <v>332</v>
      </c>
      <c r="DF152">
        <f>ROUND(ROUND(AE152,2)*CX152,2)</f>
        <v>0</v>
      </c>
      <c r="DG152">
        <f>ROUND(ROUND(AF152*AJ152,2)*CX152,2)</f>
        <v>0.02</v>
      </c>
      <c r="DH152">
        <f t="shared" si="56"/>
        <v>0.26</v>
      </c>
      <c r="DI152">
        <f t="shared" si="57"/>
        <v>0</v>
      </c>
      <c r="DJ152">
        <f>DG152+DH152</f>
        <v>0.28000000000000003</v>
      </c>
      <c r="DK152">
        <v>0</v>
      </c>
      <c r="DL152" t="s">
        <v>60</v>
      </c>
      <c r="DM152">
        <v>3</v>
      </c>
      <c r="DN152" t="s">
        <v>31</v>
      </c>
      <c r="DO152">
        <v>1</v>
      </c>
    </row>
    <row r="153" spans="1:119" x14ac:dyDescent="0.25">
      <c r="A153">
        <f>ROW(Source!A136)</f>
        <v>136</v>
      </c>
      <c r="B153">
        <v>78397139</v>
      </c>
      <c r="C153">
        <v>78397857</v>
      </c>
      <c r="D153">
        <v>77431339</v>
      </c>
      <c r="E153">
        <v>1</v>
      </c>
      <c r="F153">
        <v>1</v>
      </c>
      <c r="G153">
        <v>1</v>
      </c>
      <c r="H153">
        <v>2</v>
      </c>
      <c r="I153" t="s">
        <v>62</v>
      </c>
      <c r="J153" t="s">
        <v>650</v>
      </c>
      <c r="K153" t="s">
        <v>63</v>
      </c>
      <c r="L153">
        <v>1368</v>
      </c>
      <c r="N153">
        <v>1011</v>
      </c>
      <c r="O153" t="s">
        <v>59</v>
      </c>
      <c r="P153" t="s">
        <v>59</v>
      </c>
      <c r="Q153">
        <v>1</v>
      </c>
      <c r="W153">
        <v>0</v>
      </c>
      <c r="X153">
        <v>-849950259</v>
      </c>
      <c r="Y153">
        <f t="shared" si="59"/>
        <v>2E-3</v>
      </c>
      <c r="AA153">
        <v>0</v>
      </c>
      <c r="AB153">
        <v>643.29</v>
      </c>
      <c r="AC153">
        <v>722.05</v>
      </c>
      <c r="AD153">
        <v>0</v>
      </c>
      <c r="AE153">
        <v>0</v>
      </c>
      <c r="AF153">
        <v>643.29</v>
      </c>
      <c r="AG153">
        <v>722.05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0</v>
      </c>
      <c r="AQ153">
        <v>1</v>
      </c>
      <c r="AR153">
        <v>0</v>
      </c>
      <c r="AS153" t="s">
        <v>332</v>
      </c>
      <c r="AT153">
        <v>2E-3</v>
      </c>
      <c r="AU153" t="s">
        <v>332</v>
      </c>
      <c r="AV153">
        <v>1</v>
      </c>
      <c r="AW153">
        <v>2</v>
      </c>
      <c r="AX153">
        <v>78397866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1.2865800000000001</v>
      </c>
      <c r="BL153">
        <v>1.4440999999999999</v>
      </c>
      <c r="BM153">
        <v>0</v>
      </c>
      <c r="BN153">
        <v>0</v>
      </c>
      <c r="BO153">
        <v>2E-3</v>
      </c>
      <c r="BP153">
        <v>1</v>
      </c>
      <c r="BQ153">
        <v>0</v>
      </c>
      <c r="BR153">
        <v>1.2865800000000001</v>
      </c>
      <c r="BS153">
        <v>1.4440999999999999</v>
      </c>
      <c r="BT153">
        <v>0</v>
      </c>
      <c r="BU153">
        <v>0</v>
      </c>
      <c r="BV153">
        <v>2E-3</v>
      </c>
      <c r="BW153">
        <v>1</v>
      </c>
      <c r="CV153">
        <v>0</v>
      </c>
      <c r="CW153">
        <f>ROUND(Y153*Source!I136*DO153,7)</f>
        <v>4.0000000000000003E-5</v>
      </c>
      <c r="CX153">
        <f>ROUND(Y153*Source!I136,7)</f>
        <v>4.0000000000000003E-5</v>
      </c>
      <c r="CY153">
        <f>AB153</f>
        <v>643.29</v>
      </c>
      <c r="CZ153">
        <f>AF153</f>
        <v>643.29</v>
      </c>
      <c r="DA153">
        <f>AJ153</f>
        <v>1</v>
      </c>
      <c r="DB153">
        <f t="shared" si="63"/>
        <v>1.29</v>
      </c>
      <c r="DC153">
        <f t="shared" si="64"/>
        <v>1.44</v>
      </c>
      <c r="DD153" t="s">
        <v>332</v>
      </c>
      <c r="DE153" t="s">
        <v>332</v>
      </c>
      <c r="DF153">
        <f>ROUND(ROUND(AE153,2)*CX153,2)</f>
        <v>0</v>
      </c>
      <c r="DG153">
        <f>ROUND(ROUND(AF153,2)*CX153,2)</f>
        <v>0.03</v>
      </c>
      <c r="DH153">
        <f t="shared" si="56"/>
        <v>0.03</v>
      </c>
      <c r="DI153">
        <f t="shared" si="57"/>
        <v>0</v>
      </c>
      <c r="DJ153">
        <f>DG153+DH153</f>
        <v>0.06</v>
      </c>
      <c r="DK153">
        <v>1</v>
      </c>
      <c r="DL153" t="s">
        <v>64</v>
      </c>
      <c r="DM153">
        <v>4</v>
      </c>
      <c r="DN153" t="s">
        <v>31</v>
      </c>
      <c r="DO153">
        <v>1</v>
      </c>
    </row>
    <row r="154" spans="1:119" x14ac:dyDescent="0.25">
      <c r="A154">
        <f>ROW(Source!A136)</f>
        <v>136</v>
      </c>
      <c r="B154">
        <v>78397139</v>
      </c>
      <c r="C154">
        <v>78397857</v>
      </c>
      <c r="D154">
        <v>77508024</v>
      </c>
      <c r="E154">
        <v>1</v>
      </c>
      <c r="F154">
        <v>1</v>
      </c>
      <c r="G154">
        <v>1</v>
      </c>
      <c r="H154">
        <v>3</v>
      </c>
      <c r="I154" t="s">
        <v>67</v>
      </c>
      <c r="J154" t="s">
        <v>353</v>
      </c>
      <c r="K154" t="s">
        <v>68</v>
      </c>
      <c r="L154">
        <v>1301</v>
      </c>
      <c r="N154">
        <v>1003</v>
      </c>
      <c r="O154" t="s">
        <v>69</v>
      </c>
      <c r="P154" t="s">
        <v>69</v>
      </c>
      <c r="Q154">
        <v>1</v>
      </c>
      <c r="W154">
        <v>0</v>
      </c>
      <c r="X154">
        <v>154173286</v>
      </c>
      <c r="Y154">
        <f t="shared" si="59"/>
        <v>1050</v>
      </c>
      <c r="AA154">
        <v>114.78</v>
      </c>
      <c r="AB154">
        <v>0</v>
      </c>
      <c r="AC154">
        <v>0</v>
      </c>
      <c r="AD154">
        <v>0</v>
      </c>
      <c r="AE154">
        <v>69.989999999999995</v>
      </c>
      <c r="AF154">
        <v>0</v>
      </c>
      <c r="AG154">
        <v>0</v>
      </c>
      <c r="AH154">
        <v>0</v>
      </c>
      <c r="AI154">
        <v>1.64</v>
      </c>
      <c r="AJ154">
        <v>1</v>
      </c>
      <c r="AK154">
        <v>1</v>
      </c>
      <c r="AL154">
        <v>1</v>
      </c>
      <c r="AM154">
        <v>2</v>
      </c>
      <c r="AN154">
        <v>0</v>
      </c>
      <c r="AO154">
        <v>0</v>
      </c>
      <c r="AP154">
        <v>0</v>
      </c>
      <c r="AQ154">
        <v>1</v>
      </c>
      <c r="AR154">
        <v>0</v>
      </c>
      <c r="AS154" t="s">
        <v>332</v>
      </c>
      <c r="AT154">
        <v>1050</v>
      </c>
      <c r="AU154" t="s">
        <v>332</v>
      </c>
      <c r="AV154">
        <v>0</v>
      </c>
      <c r="AW154">
        <v>2</v>
      </c>
      <c r="AX154">
        <v>78397867</v>
      </c>
      <c r="AY154">
        <v>1</v>
      </c>
      <c r="AZ154">
        <v>0</v>
      </c>
      <c r="BA154">
        <v>154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73489.5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73489.5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v>0</v>
      </c>
      <c r="CX154">
        <f>ROUND(Y154*Source!I136,7)</f>
        <v>21</v>
      </c>
      <c r="CY154">
        <f>AA154</f>
        <v>114.78</v>
      </c>
      <c r="CZ154">
        <f>AE154</f>
        <v>69.989999999999995</v>
      </c>
      <c r="DA154">
        <f>AI154</f>
        <v>1.64</v>
      </c>
      <c r="DB154">
        <f t="shared" si="63"/>
        <v>73489.5</v>
      </c>
      <c r="DC154">
        <f t="shared" si="64"/>
        <v>0</v>
      </c>
      <c r="DD154" t="s">
        <v>332</v>
      </c>
      <c r="DE154" t="s">
        <v>332</v>
      </c>
      <c r="DF154">
        <f>ROUND(ROUND(AE154*AI154,2)*CX154,2)</f>
        <v>2410.38</v>
      </c>
      <c r="DG154">
        <f>ROUND(ROUND(AF154,2)*CX154,2)</f>
        <v>0</v>
      </c>
      <c r="DH154">
        <f t="shared" si="56"/>
        <v>0</v>
      </c>
      <c r="DI154">
        <f t="shared" si="57"/>
        <v>0</v>
      </c>
      <c r="DJ154">
        <f>DF154</f>
        <v>2410.38</v>
      </c>
      <c r="DK154">
        <v>0</v>
      </c>
      <c r="DL154" t="s">
        <v>332</v>
      </c>
      <c r="DM154">
        <v>0</v>
      </c>
      <c r="DN154" t="s">
        <v>332</v>
      </c>
      <c r="DO154">
        <v>0</v>
      </c>
    </row>
    <row r="155" spans="1:119" x14ac:dyDescent="0.25">
      <c r="A155">
        <f>ROW(Source!A173)</f>
        <v>173</v>
      </c>
      <c r="B155">
        <v>78397139</v>
      </c>
      <c r="C155">
        <v>78397928</v>
      </c>
      <c r="D155">
        <v>28077883</v>
      </c>
      <c r="E155">
        <v>112</v>
      </c>
      <c r="F155">
        <v>1</v>
      </c>
      <c r="G155">
        <v>1</v>
      </c>
      <c r="H155">
        <v>1</v>
      </c>
      <c r="I155" t="s">
        <v>297</v>
      </c>
      <c r="J155" t="s">
        <v>332</v>
      </c>
      <c r="K155" t="s">
        <v>298</v>
      </c>
      <c r="L155">
        <v>1191</v>
      </c>
      <c r="N155">
        <v>1013</v>
      </c>
      <c r="O155" t="s">
        <v>31</v>
      </c>
      <c r="P155" t="s">
        <v>31</v>
      </c>
      <c r="Q155">
        <v>1</v>
      </c>
      <c r="W155">
        <v>0</v>
      </c>
      <c r="X155">
        <v>1547839991</v>
      </c>
      <c r="Y155">
        <f t="shared" si="59"/>
        <v>1.03</v>
      </c>
      <c r="AA155">
        <v>0</v>
      </c>
      <c r="AB155">
        <v>0</v>
      </c>
      <c r="AC155">
        <v>0</v>
      </c>
      <c r="AD155">
        <v>538.85</v>
      </c>
      <c r="AE155">
        <v>0</v>
      </c>
      <c r="AF155">
        <v>0</v>
      </c>
      <c r="AG155">
        <v>0</v>
      </c>
      <c r="AH155">
        <v>538.85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332</v>
      </c>
      <c r="AT155">
        <v>1.03</v>
      </c>
      <c r="AU155" t="s">
        <v>332</v>
      </c>
      <c r="AV155">
        <v>1</v>
      </c>
      <c r="AW155">
        <v>2</v>
      </c>
      <c r="AX155">
        <v>78397935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555.01549999999997</v>
      </c>
      <c r="BN155">
        <v>1.03</v>
      </c>
      <c r="BO155">
        <v>0</v>
      </c>
      <c r="BP155">
        <v>1</v>
      </c>
      <c r="BQ155">
        <v>0</v>
      </c>
      <c r="BR155">
        <v>0</v>
      </c>
      <c r="BS155">
        <v>0</v>
      </c>
      <c r="BT155">
        <v>555.01549999999997</v>
      </c>
      <c r="BU155">
        <v>1.03</v>
      </c>
      <c r="BV155">
        <v>0</v>
      </c>
      <c r="BW155">
        <v>1</v>
      </c>
      <c r="CU155">
        <f>ROUND(AT155*Source!I173*AH155*AL155,2)</f>
        <v>71.260000000000005</v>
      </c>
      <c r="CV155">
        <f>ROUND(Y155*Source!I173,7)</f>
        <v>0.13225200000000001</v>
      </c>
      <c r="CW155">
        <v>0</v>
      </c>
      <c r="CX155">
        <f>ROUND(Y155*Source!I173,7)</f>
        <v>0.13225200000000001</v>
      </c>
      <c r="CY155">
        <f>AD155</f>
        <v>538.85</v>
      </c>
      <c r="CZ155">
        <f>AH155</f>
        <v>538.85</v>
      </c>
      <c r="DA155">
        <f>AL155</f>
        <v>1</v>
      </c>
      <c r="DB155">
        <f t="shared" si="63"/>
        <v>555.02</v>
      </c>
      <c r="DC155">
        <f t="shared" si="64"/>
        <v>0</v>
      </c>
      <c r="DD155" t="s">
        <v>332</v>
      </c>
      <c r="DE155" t="s">
        <v>332</v>
      </c>
      <c r="DF155">
        <f>ROUND(ROUND(AE155,2)*CX155,2)</f>
        <v>0</v>
      </c>
      <c r="DG155">
        <f>ROUND(ROUND(AF155,2)*CX155,2)</f>
        <v>0</v>
      </c>
      <c r="DH155">
        <f t="shared" si="56"/>
        <v>0</v>
      </c>
      <c r="DI155">
        <f t="shared" si="57"/>
        <v>71.260000000000005</v>
      </c>
      <c r="DJ155">
        <f>DI155</f>
        <v>71.260000000000005</v>
      </c>
      <c r="DK155">
        <v>1</v>
      </c>
      <c r="DL155" t="s">
        <v>332</v>
      </c>
      <c r="DM155">
        <v>0</v>
      </c>
      <c r="DN155" t="s">
        <v>332</v>
      </c>
      <c r="DO155">
        <v>0</v>
      </c>
    </row>
    <row r="156" spans="1:119" x14ac:dyDescent="0.25">
      <c r="A156">
        <f>ROW(Source!A173)</f>
        <v>173</v>
      </c>
      <c r="B156">
        <v>78397139</v>
      </c>
      <c r="C156">
        <v>78397928</v>
      </c>
      <c r="D156">
        <v>70141543</v>
      </c>
      <c r="E156">
        <v>1</v>
      </c>
      <c r="F156">
        <v>1</v>
      </c>
      <c r="G156">
        <v>1</v>
      </c>
      <c r="H156">
        <v>3</v>
      </c>
      <c r="I156" t="s">
        <v>299</v>
      </c>
      <c r="J156" t="s">
        <v>697</v>
      </c>
      <c r="K156" t="s">
        <v>300</v>
      </c>
      <c r="L156">
        <v>1425</v>
      </c>
      <c r="N156">
        <v>1013</v>
      </c>
      <c r="O156" t="s">
        <v>228</v>
      </c>
      <c r="P156" t="s">
        <v>228</v>
      </c>
      <c r="Q156">
        <v>1</v>
      </c>
      <c r="W156">
        <v>0</v>
      </c>
      <c r="X156">
        <v>2072994020</v>
      </c>
      <c r="Y156">
        <f t="shared" si="59"/>
        <v>0.2</v>
      </c>
      <c r="AA156">
        <v>2815.97</v>
      </c>
      <c r="AB156">
        <v>0</v>
      </c>
      <c r="AC156">
        <v>0</v>
      </c>
      <c r="AD156">
        <v>0</v>
      </c>
      <c r="AE156">
        <v>1828.55</v>
      </c>
      <c r="AF156">
        <v>0</v>
      </c>
      <c r="AG156">
        <v>0</v>
      </c>
      <c r="AH156">
        <v>0</v>
      </c>
      <c r="AI156">
        <v>1.54</v>
      </c>
      <c r="AJ156">
        <v>1</v>
      </c>
      <c r="AK156">
        <v>1</v>
      </c>
      <c r="AL156">
        <v>1</v>
      </c>
      <c r="AM156">
        <v>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332</v>
      </c>
      <c r="AT156">
        <v>0.2</v>
      </c>
      <c r="AU156" t="s">
        <v>332</v>
      </c>
      <c r="AV156">
        <v>0</v>
      </c>
      <c r="AW156">
        <v>2</v>
      </c>
      <c r="AX156">
        <v>78397936</v>
      </c>
      <c r="AY156">
        <v>1</v>
      </c>
      <c r="AZ156">
        <v>0</v>
      </c>
      <c r="BA156">
        <v>156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365.71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365.71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v>0</v>
      </c>
      <c r="CX156">
        <f>ROUND(Y156*Source!I173,7)</f>
        <v>2.5680000000000001E-2</v>
      </c>
      <c r="CY156">
        <f>AA156</f>
        <v>2815.97</v>
      </c>
      <c r="CZ156">
        <f>AE156</f>
        <v>1828.55</v>
      </c>
      <c r="DA156">
        <f>AI156</f>
        <v>1.54</v>
      </c>
      <c r="DB156">
        <f t="shared" si="63"/>
        <v>365.71</v>
      </c>
      <c r="DC156">
        <f t="shared" si="64"/>
        <v>0</v>
      </c>
      <c r="DD156" t="s">
        <v>332</v>
      </c>
      <c r="DE156" t="s">
        <v>332</v>
      </c>
      <c r="DF156">
        <f>ROUND(ROUND(AE156*AI156,2)*CX156,2)</f>
        <v>72.31</v>
      </c>
      <c r="DG156">
        <f>ROUND(ROUND(AF156,2)*CX156,2)</f>
        <v>0</v>
      </c>
      <c r="DH156">
        <f t="shared" si="56"/>
        <v>0</v>
      </c>
      <c r="DI156">
        <f t="shared" si="57"/>
        <v>0</v>
      </c>
      <c r="DJ156">
        <f>DF156</f>
        <v>72.31</v>
      </c>
      <c r="DK156">
        <v>0</v>
      </c>
      <c r="DL156" t="s">
        <v>332</v>
      </c>
      <c r="DM156">
        <v>0</v>
      </c>
      <c r="DN156" t="s">
        <v>332</v>
      </c>
      <c r="DO156">
        <v>0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6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44" x14ac:dyDescent="0.25">
      <c r="A1">
        <f>ROW(Source!A28)</f>
        <v>28</v>
      </c>
      <c r="B1">
        <v>78397499</v>
      </c>
      <c r="C1">
        <v>78397493</v>
      </c>
      <c r="D1">
        <v>28074705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332</v>
      </c>
      <c r="K1" t="s">
        <v>54</v>
      </c>
      <c r="L1">
        <v>1191</v>
      </c>
      <c r="N1">
        <v>1013</v>
      </c>
      <c r="O1" t="s">
        <v>31</v>
      </c>
      <c r="P1" t="s">
        <v>31</v>
      </c>
      <c r="Q1">
        <v>1</v>
      </c>
      <c r="X1">
        <v>69.28</v>
      </c>
      <c r="Y1">
        <v>0</v>
      </c>
      <c r="Z1">
        <v>0</v>
      </c>
      <c r="AA1">
        <v>0</v>
      </c>
      <c r="AB1">
        <v>681.63</v>
      </c>
      <c r="AC1">
        <v>0</v>
      </c>
      <c r="AD1">
        <v>1</v>
      </c>
      <c r="AE1">
        <v>1</v>
      </c>
      <c r="AF1" t="s">
        <v>332</v>
      </c>
      <c r="AG1">
        <v>69.28</v>
      </c>
      <c r="AH1">
        <v>2</v>
      </c>
      <c r="AI1">
        <v>78397494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ROW(Source!A28)</f>
        <v>28</v>
      </c>
      <c r="B2">
        <v>78397500</v>
      </c>
      <c r="C2">
        <v>78397493</v>
      </c>
      <c r="D2">
        <v>28074654</v>
      </c>
      <c r="E2">
        <v>117</v>
      </c>
      <c r="F2">
        <v>1</v>
      </c>
      <c r="G2">
        <v>1</v>
      </c>
      <c r="H2">
        <v>1</v>
      </c>
      <c r="I2" t="s">
        <v>647</v>
      </c>
      <c r="J2" t="s">
        <v>332</v>
      </c>
      <c r="K2" t="s">
        <v>648</v>
      </c>
      <c r="L2">
        <v>1191</v>
      </c>
      <c r="N2">
        <v>1013</v>
      </c>
      <c r="O2" t="s">
        <v>31</v>
      </c>
      <c r="P2" t="s">
        <v>31</v>
      </c>
      <c r="Q2">
        <v>1</v>
      </c>
      <c r="X2">
        <v>0.02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332</v>
      </c>
      <c r="AG2">
        <v>0.02</v>
      </c>
      <c r="AH2">
        <v>2</v>
      </c>
      <c r="AI2">
        <v>78397495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ROW(Source!A28)</f>
        <v>28</v>
      </c>
      <c r="B3">
        <v>78397501</v>
      </c>
      <c r="C3">
        <v>78397493</v>
      </c>
      <c r="D3">
        <v>77430632</v>
      </c>
      <c r="E3">
        <v>1</v>
      </c>
      <c r="F3">
        <v>1</v>
      </c>
      <c r="G3">
        <v>1</v>
      </c>
      <c r="H3">
        <v>2</v>
      </c>
      <c r="I3" t="s">
        <v>57</v>
      </c>
      <c r="J3" t="s">
        <v>649</v>
      </c>
      <c r="K3" t="s">
        <v>58</v>
      </c>
      <c r="L3">
        <v>1368</v>
      </c>
      <c r="N3">
        <v>1011</v>
      </c>
      <c r="O3" t="s">
        <v>59</v>
      </c>
      <c r="P3" t="s">
        <v>59</v>
      </c>
      <c r="Q3">
        <v>1</v>
      </c>
      <c r="X3">
        <v>0.02</v>
      </c>
      <c r="Y3">
        <v>0</v>
      </c>
      <c r="Z3">
        <v>37.32</v>
      </c>
      <c r="AA3">
        <v>641.22</v>
      </c>
      <c r="AB3">
        <v>0</v>
      </c>
      <c r="AC3">
        <v>0</v>
      </c>
      <c r="AD3">
        <v>1</v>
      </c>
      <c r="AE3">
        <v>0</v>
      </c>
      <c r="AF3" t="s">
        <v>332</v>
      </c>
      <c r="AG3">
        <v>0.02</v>
      </c>
      <c r="AH3">
        <v>2</v>
      </c>
      <c r="AI3">
        <v>78397496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ROW(Source!A28)</f>
        <v>28</v>
      </c>
      <c r="B4">
        <v>78397502</v>
      </c>
      <c r="C4">
        <v>78397493</v>
      </c>
      <c r="D4">
        <v>77431339</v>
      </c>
      <c r="E4">
        <v>1</v>
      </c>
      <c r="F4">
        <v>1</v>
      </c>
      <c r="G4">
        <v>1</v>
      </c>
      <c r="H4">
        <v>2</v>
      </c>
      <c r="I4" t="s">
        <v>62</v>
      </c>
      <c r="J4" t="s">
        <v>650</v>
      </c>
      <c r="K4" t="s">
        <v>63</v>
      </c>
      <c r="L4">
        <v>1368</v>
      </c>
      <c r="N4">
        <v>1011</v>
      </c>
      <c r="O4" t="s">
        <v>59</v>
      </c>
      <c r="P4" t="s">
        <v>59</v>
      </c>
      <c r="Q4">
        <v>1</v>
      </c>
      <c r="X4">
        <v>2E-3</v>
      </c>
      <c r="Y4">
        <v>0</v>
      </c>
      <c r="Z4">
        <v>643.29</v>
      </c>
      <c r="AA4">
        <v>722.05</v>
      </c>
      <c r="AB4">
        <v>0</v>
      </c>
      <c r="AC4">
        <v>0</v>
      </c>
      <c r="AD4">
        <v>1</v>
      </c>
      <c r="AE4">
        <v>0</v>
      </c>
      <c r="AF4" t="s">
        <v>332</v>
      </c>
      <c r="AG4">
        <v>2E-3</v>
      </c>
      <c r="AH4">
        <v>2</v>
      </c>
      <c r="AI4">
        <v>78397497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ROW(Source!A28)</f>
        <v>28</v>
      </c>
      <c r="B5">
        <v>78397503</v>
      </c>
      <c r="C5">
        <v>78397493</v>
      </c>
      <c r="D5">
        <v>77508024</v>
      </c>
      <c r="E5">
        <v>1</v>
      </c>
      <c r="F5">
        <v>1</v>
      </c>
      <c r="G5">
        <v>1</v>
      </c>
      <c r="H5">
        <v>3</v>
      </c>
      <c r="I5" t="s">
        <v>67</v>
      </c>
      <c r="J5" t="s">
        <v>353</v>
      </c>
      <c r="K5" t="s">
        <v>68</v>
      </c>
      <c r="L5">
        <v>1301</v>
      </c>
      <c r="N5">
        <v>1003</v>
      </c>
      <c r="O5" t="s">
        <v>69</v>
      </c>
      <c r="P5" t="s">
        <v>69</v>
      </c>
      <c r="Q5">
        <v>1</v>
      </c>
      <c r="X5">
        <v>1050</v>
      </c>
      <c r="Y5">
        <v>69.989999999999995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332</v>
      </c>
      <c r="AG5">
        <v>1050</v>
      </c>
      <c r="AH5">
        <v>2</v>
      </c>
      <c r="AI5">
        <v>78397498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ROW(Source!A30)</f>
        <v>30</v>
      </c>
      <c r="B6">
        <v>78397507</v>
      </c>
      <c r="C6">
        <v>78397506</v>
      </c>
      <c r="D6">
        <v>77423772</v>
      </c>
      <c r="E6">
        <v>117</v>
      </c>
      <c r="F6">
        <v>1</v>
      </c>
      <c r="G6">
        <v>1</v>
      </c>
      <c r="H6">
        <v>1</v>
      </c>
      <c r="I6" t="s">
        <v>53</v>
      </c>
      <c r="J6" t="s">
        <v>332</v>
      </c>
      <c r="K6" t="s">
        <v>54</v>
      </c>
      <c r="L6">
        <v>1191</v>
      </c>
      <c r="N6">
        <v>1013</v>
      </c>
      <c r="O6" t="s">
        <v>31</v>
      </c>
      <c r="P6" t="s">
        <v>31</v>
      </c>
      <c r="Q6">
        <v>1</v>
      </c>
      <c r="X6">
        <v>308</v>
      </c>
      <c r="Y6">
        <v>0</v>
      </c>
      <c r="Z6">
        <v>0</v>
      </c>
      <c r="AA6">
        <v>0</v>
      </c>
      <c r="AB6">
        <v>681.63</v>
      </c>
      <c r="AC6">
        <v>0</v>
      </c>
      <c r="AD6">
        <v>1</v>
      </c>
      <c r="AE6">
        <v>1</v>
      </c>
      <c r="AF6" t="s">
        <v>332</v>
      </c>
      <c r="AG6">
        <v>308</v>
      </c>
      <c r="AH6">
        <v>2</v>
      </c>
      <c r="AI6">
        <v>78397507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ROW(Source!A30)</f>
        <v>30</v>
      </c>
      <c r="B7">
        <v>78397508</v>
      </c>
      <c r="C7">
        <v>78397506</v>
      </c>
      <c r="D7">
        <v>77423956</v>
      </c>
      <c r="E7">
        <v>117</v>
      </c>
      <c r="F7">
        <v>1</v>
      </c>
      <c r="G7">
        <v>1</v>
      </c>
      <c r="H7">
        <v>1</v>
      </c>
      <c r="I7" t="s">
        <v>647</v>
      </c>
      <c r="J7" t="s">
        <v>332</v>
      </c>
      <c r="K7" t="s">
        <v>648</v>
      </c>
      <c r="L7">
        <v>1191</v>
      </c>
      <c r="N7">
        <v>1013</v>
      </c>
      <c r="O7" t="s">
        <v>31</v>
      </c>
      <c r="P7" t="s">
        <v>31</v>
      </c>
      <c r="Q7">
        <v>1</v>
      </c>
      <c r="X7">
        <v>4.2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332</v>
      </c>
      <c r="AG7">
        <v>4.2</v>
      </c>
      <c r="AH7">
        <v>2</v>
      </c>
      <c r="AI7">
        <v>78397508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ROW(Source!A30)</f>
        <v>30</v>
      </c>
      <c r="B8">
        <v>78397509</v>
      </c>
      <c r="C8">
        <v>78397506</v>
      </c>
      <c r="D8">
        <v>77431339</v>
      </c>
      <c r="E8">
        <v>1</v>
      </c>
      <c r="F8">
        <v>1</v>
      </c>
      <c r="G8">
        <v>1</v>
      </c>
      <c r="H8">
        <v>2</v>
      </c>
      <c r="I8" t="s">
        <v>62</v>
      </c>
      <c r="J8" t="s">
        <v>650</v>
      </c>
      <c r="K8" t="s">
        <v>63</v>
      </c>
      <c r="L8">
        <v>1368</v>
      </c>
      <c r="N8">
        <v>1011</v>
      </c>
      <c r="O8" t="s">
        <v>59</v>
      </c>
      <c r="P8" t="s">
        <v>59</v>
      </c>
      <c r="Q8">
        <v>1</v>
      </c>
      <c r="X8">
        <v>4.2</v>
      </c>
      <c r="Y8">
        <v>0</v>
      </c>
      <c r="Z8">
        <v>643.29</v>
      </c>
      <c r="AA8">
        <v>722.05</v>
      </c>
      <c r="AB8">
        <v>0</v>
      </c>
      <c r="AC8">
        <v>0</v>
      </c>
      <c r="AD8">
        <v>1</v>
      </c>
      <c r="AE8">
        <v>0</v>
      </c>
      <c r="AF8" t="s">
        <v>332</v>
      </c>
      <c r="AG8">
        <v>4.2</v>
      </c>
      <c r="AH8">
        <v>2</v>
      </c>
      <c r="AI8">
        <v>78397509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ROW(Source!A30)</f>
        <v>30</v>
      </c>
      <c r="B9">
        <v>78397510</v>
      </c>
      <c r="C9">
        <v>78397506</v>
      </c>
      <c r="D9">
        <v>77495882</v>
      </c>
      <c r="E9">
        <v>1</v>
      </c>
      <c r="F9">
        <v>1</v>
      </c>
      <c r="G9">
        <v>1</v>
      </c>
      <c r="H9">
        <v>3</v>
      </c>
      <c r="I9" t="s">
        <v>82</v>
      </c>
      <c r="J9" t="s">
        <v>651</v>
      </c>
      <c r="K9" t="s">
        <v>83</v>
      </c>
      <c r="L9">
        <v>1407</v>
      </c>
      <c r="N9">
        <v>1013</v>
      </c>
      <c r="O9" t="s">
        <v>84</v>
      </c>
      <c r="P9" t="s">
        <v>84</v>
      </c>
      <c r="Q9">
        <v>1</v>
      </c>
      <c r="X9">
        <v>0.2</v>
      </c>
      <c r="Y9">
        <v>13680.39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332</v>
      </c>
      <c r="AG9">
        <v>0.2</v>
      </c>
      <c r="AH9">
        <v>2</v>
      </c>
      <c r="AI9">
        <v>78397510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5">
      <c r="A10">
        <f>ROW(Source!A30)</f>
        <v>30</v>
      </c>
      <c r="B10">
        <v>78397511</v>
      </c>
      <c r="C10">
        <v>78397506</v>
      </c>
      <c r="D10">
        <v>77499590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652</v>
      </c>
      <c r="K10" t="s">
        <v>86</v>
      </c>
      <c r="L10">
        <v>1348</v>
      </c>
      <c r="N10">
        <v>1009</v>
      </c>
      <c r="O10" t="s">
        <v>87</v>
      </c>
      <c r="P10" t="s">
        <v>87</v>
      </c>
      <c r="Q10">
        <v>1000</v>
      </c>
      <c r="X10">
        <v>0.21</v>
      </c>
      <c r="Y10">
        <v>151744.95000000001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332</v>
      </c>
      <c r="AG10">
        <v>0.21</v>
      </c>
      <c r="AH10">
        <v>2</v>
      </c>
      <c r="AI10">
        <v>78397511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5">
      <c r="A11">
        <f>ROW(Source!A30)</f>
        <v>30</v>
      </c>
      <c r="B11">
        <v>78397512</v>
      </c>
      <c r="C11">
        <v>78397506</v>
      </c>
      <c r="D11">
        <v>77428067</v>
      </c>
      <c r="E11">
        <v>117</v>
      </c>
      <c r="F11">
        <v>1</v>
      </c>
      <c r="G11">
        <v>1</v>
      </c>
      <c r="H11">
        <v>3</v>
      </c>
      <c r="I11" t="s">
        <v>698</v>
      </c>
      <c r="J11" t="s">
        <v>332</v>
      </c>
      <c r="K11" t="s">
        <v>699</v>
      </c>
      <c r="L11">
        <v>1371</v>
      </c>
      <c r="N11">
        <v>1013</v>
      </c>
      <c r="O11" t="s">
        <v>366</v>
      </c>
      <c r="P11" t="s">
        <v>366</v>
      </c>
      <c r="Q11">
        <v>1</v>
      </c>
      <c r="X11">
        <v>100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332</v>
      </c>
      <c r="AG11">
        <v>100</v>
      </c>
      <c r="AH11">
        <v>3</v>
      </c>
      <c r="AI11">
        <v>-1</v>
      </c>
      <c r="AJ11" t="s">
        <v>332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5">
      <c r="A12">
        <f>ROW(Source!A30)</f>
        <v>30</v>
      </c>
      <c r="B12">
        <v>78397513</v>
      </c>
      <c r="C12">
        <v>78397506</v>
      </c>
      <c r="D12">
        <v>77429794</v>
      </c>
      <c r="E12">
        <v>117</v>
      </c>
      <c r="F12">
        <v>1</v>
      </c>
      <c r="G12">
        <v>1</v>
      </c>
      <c r="H12">
        <v>3</v>
      </c>
      <c r="I12" t="s">
        <v>369</v>
      </c>
      <c r="J12" t="s">
        <v>332</v>
      </c>
      <c r="K12" t="s">
        <v>370</v>
      </c>
      <c r="L12">
        <v>1348</v>
      </c>
      <c r="N12">
        <v>1009</v>
      </c>
      <c r="O12" t="s">
        <v>87</v>
      </c>
      <c r="P12" t="s">
        <v>87</v>
      </c>
      <c r="Q12">
        <v>1000</v>
      </c>
      <c r="X12">
        <v>3.84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332</v>
      </c>
      <c r="AG12">
        <v>3.84</v>
      </c>
      <c r="AH12">
        <v>2</v>
      </c>
      <c r="AI12">
        <v>78397513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5">
      <c r="A13">
        <f>ROW(Source!A33)</f>
        <v>33</v>
      </c>
      <c r="B13">
        <v>78397522</v>
      </c>
      <c r="C13">
        <v>78397521</v>
      </c>
      <c r="D13">
        <v>77423786</v>
      </c>
      <c r="E13">
        <v>117</v>
      </c>
      <c r="F13">
        <v>1</v>
      </c>
      <c r="G13">
        <v>1</v>
      </c>
      <c r="H13">
        <v>1</v>
      </c>
      <c r="I13" t="s">
        <v>96</v>
      </c>
      <c r="J13" t="s">
        <v>332</v>
      </c>
      <c r="K13" t="s">
        <v>97</v>
      </c>
      <c r="L13">
        <v>1191</v>
      </c>
      <c r="N13">
        <v>1013</v>
      </c>
      <c r="O13" t="s">
        <v>31</v>
      </c>
      <c r="P13" t="s">
        <v>31</v>
      </c>
      <c r="Q13">
        <v>1</v>
      </c>
      <c r="X13">
        <v>174.8</v>
      </c>
      <c r="Y13">
        <v>0</v>
      </c>
      <c r="Z13">
        <v>0</v>
      </c>
      <c r="AA13">
        <v>0</v>
      </c>
      <c r="AB13">
        <v>722.05</v>
      </c>
      <c r="AC13">
        <v>0</v>
      </c>
      <c r="AD13">
        <v>1</v>
      </c>
      <c r="AE13">
        <v>1</v>
      </c>
      <c r="AF13" t="s">
        <v>332</v>
      </c>
      <c r="AG13">
        <v>174.8</v>
      </c>
      <c r="AH13">
        <v>2</v>
      </c>
      <c r="AI13">
        <v>78397522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5">
      <c r="A14">
        <f>ROW(Source!A33)</f>
        <v>33</v>
      </c>
      <c r="B14">
        <v>78397523</v>
      </c>
      <c r="C14">
        <v>78397521</v>
      </c>
      <c r="D14">
        <v>77423956</v>
      </c>
      <c r="E14">
        <v>117</v>
      </c>
      <c r="F14">
        <v>1</v>
      </c>
      <c r="G14">
        <v>1</v>
      </c>
      <c r="H14">
        <v>1</v>
      </c>
      <c r="I14" t="s">
        <v>647</v>
      </c>
      <c r="J14" t="s">
        <v>332</v>
      </c>
      <c r="K14" t="s">
        <v>648</v>
      </c>
      <c r="L14">
        <v>1191</v>
      </c>
      <c r="N14">
        <v>1013</v>
      </c>
      <c r="O14" t="s">
        <v>31</v>
      </c>
      <c r="P14" t="s">
        <v>31</v>
      </c>
      <c r="Q14">
        <v>1</v>
      </c>
      <c r="X14">
        <v>0.72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332</v>
      </c>
      <c r="AG14">
        <v>0.72</v>
      </c>
      <c r="AH14">
        <v>2</v>
      </c>
      <c r="AI14">
        <v>78397523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ROW(Source!A33)</f>
        <v>33</v>
      </c>
      <c r="B15">
        <v>78397524</v>
      </c>
      <c r="C15">
        <v>78397521</v>
      </c>
      <c r="D15">
        <v>77430632</v>
      </c>
      <c r="E15">
        <v>1</v>
      </c>
      <c r="F15">
        <v>1</v>
      </c>
      <c r="G15">
        <v>1</v>
      </c>
      <c r="H15">
        <v>2</v>
      </c>
      <c r="I15" t="s">
        <v>57</v>
      </c>
      <c r="J15" t="s">
        <v>649</v>
      </c>
      <c r="K15" t="s">
        <v>58</v>
      </c>
      <c r="L15">
        <v>1368</v>
      </c>
      <c r="N15">
        <v>1011</v>
      </c>
      <c r="O15" t="s">
        <v>59</v>
      </c>
      <c r="P15" t="s">
        <v>59</v>
      </c>
      <c r="Q15">
        <v>1</v>
      </c>
      <c r="X15">
        <v>0.36</v>
      </c>
      <c r="Y15">
        <v>0</v>
      </c>
      <c r="Z15">
        <v>37.32</v>
      </c>
      <c r="AA15">
        <v>641.22</v>
      </c>
      <c r="AB15">
        <v>0</v>
      </c>
      <c r="AC15">
        <v>0</v>
      </c>
      <c r="AD15">
        <v>1</v>
      </c>
      <c r="AE15">
        <v>0</v>
      </c>
      <c r="AF15" t="s">
        <v>332</v>
      </c>
      <c r="AG15">
        <v>0.36</v>
      </c>
      <c r="AH15">
        <v>2</v>
      </c>
      <c r="AI15">
        <v>78397524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>ROW(Source!A33)</f>
        <v>33</v>
      </c>
      <c r="B16">
        <v>78397525</v>
      </c>
      <c r="C16">
        <v>78397521</v>
      </c>
      <c r="D16">
        <v>77431339</v>
      </c>
      <c r="E16">
        <v>1</v>
      </c>
      <c r="F16">
        <v>1</v>
      </c>
      <c r="G16">
        <v>1</v>
      </c>
      <c r="H16">
        <v>2</v>
      </c>
      <c r="I16" t="s">
        <v>62</v>
      </c>
      <c r="J16" t="s">
        <v>650</v>
      </c>
      <c r="K16" t="s">
        <v>63</v>
      </c>
      <c r="L16">
        <v>1368</v>
      </c>
      <c r="N16">
        <v>1011</v>
      </c>
      <c r="O16" t="s">
        <v>59</v>
      </c>
      <c r="P16" t="s">
        <v>59</v>
      </c>
      <c r="Q16">
        <v>1</v>
      </c>
      <c r="X16">
        <v>0.36</v>
      </c>
      <c r="Y16">
        <v>0</v>
      </c>
      <c r="Z16">
        <v>643.29</v>
      </c>
      <c r="AA16">
        <v>722.05</v>
      </c>
      <c r="AB16">
        <v>0</v>
      </c>
      <c r="AC16">
        <v>0</v>
      </c>
      <c r="AD16">
        <v>1</v>
      </c>
      <c r="AE16">
        <v>0</v>
      </c>
      <c r="AF16" t="s">
        <v>332</v>
      </c>
      <c r="AG16">
        <v>0.36</v>
      </c>
      <c r="AH16">
        <v>2</v>
      </c>
      <c r="AI16">
        <v>78397525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>ROW(Source!A33)</f>
        <v>33</v>
      </c>
      <c r="B17">
        <v>78397526</v>
      </c>
      <c r="C17">
        <v>78397521</v>
      </c>
      <c r="D17">
        <v>77431497</v>
      </c>
      <c r="E17">
        <v>1</v>
      </c>
      <c r="F17">
        <v>1</v>
      </c>
      <c r="G17">
        <v>1</v>
      </c>
      <c r="H17">
        <v>2</v>
      </c>
      <c r="I17" t="s">
        <v>98</v>
      </c>
      <c r="J17" t="s">
        <v>653</v>
      </c>
      <c r="K17" t="s">
        <v>99</v>
      </c>
      <c r="L17">
        <v>1368</v>
      </c>
      <c r="N17">
        <v>1011</v>
      </c>
      <c r="O17" t="s">
        <v>59</v>
      </c>
      <c r="P17" t="s">
        <v>59</v>
      </c>
      <c r="Q17">
        <v>1</v>
      </c>
      <c r="X17">
        <v>8.9</v>
      </c>
      <c r="Y17">
        <v>0</v>
      </c>
      <c r="Z17">
        <v>4.3499999999999996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332</v>
      </c>
      <c r="AG17">
        <v>8.9</v>
      </c>
      <c r="AH17">
        <v>2</v>
      </c>
      <c r="AI17">
        <v>78397526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>ROW(Source!A33)</f>
        <v>33</v>
      </c>
      <c r="B18">
        <v>78397527</v>
      </c>
      <c r="C18">
        <v>78397521</v>
      </c>
      <c r="D18">
        <v>77431535</v>
      </c>
      <c r="E18">
        <v>1</v>
      </c>
      <c r="F18">
        <v>1</v>
      </c>
      <c r="G18">
        <v>1</v>
      </c>
      <c r="H18">
        <v>2</v>
      </c>
      <c r="I18" t="s">
        <v>100</v>
      </c>
      <c r="J18" t="s">
        <v>654</v>
      </c>
      <c r="K18" t="s">
        <v>101</v>
      </c>
      <c r="L18">
        <v>1368</v>
      </c>
      <c r="N18">
        <v>1011</v>
      </c>
      <c r="O18" t="s">
        <v>59</v>
      </c>
      <c r="P18" t="s">
        <v>59</v>
      </c>
      <c r="Q18">
        <v>1</v>
      </c>
      <c r="X18">
        <v>25.9</v>
      </c>
      <c r="Y18">
        <v>0</v>
      </c>
      <c r="Z18">
        <v>32.26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332</v>
      </c>
      <c r="AG18">
        <v>25.9</v>
      </c>
      <c r="AH18">
        <v>2</v>
      </c>
      <c r="AI18">
        <v>78397527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>ROW(Source!A33)</f>
        <v>33</v>
      </c>
      <c r="B19">
        <v>78397528</v>
      </c>
      <c r="C19">
        <v>78397521</v>
      </c>
      <c r="D19">
        <v>77496097</v>
      </c>
      <c r="E19">
        <v>1</v>
      </c>
      <c r="F19">
        <v>1</v>
      </c>
      <c r="G19">
        <v>1</v>
      </c>
      <c r="H19">
        <v>3</v>
      </c>
      <c r="I19" t="s">
        <v>102</v>
      </c>
      <c r="J19" t="s">
        <v>655</v>
      </c>
      <c r="K19" t="s">
        <v>103</v>
      </c>
      <c r="L19">
        <v>1339</v>
      </c>
      <c r="N19">
        <v>1007</v>
      </c>
      <c r="O19" t="s">
        <v>104</v>
      </c>
      <c r="P19" t="s">
        <v>104</v>
      </c>
      <c r="Q19">
        <v>1</v>
      </c>
      <c r="X19">
        <v>2.0499999999999998</v>
      </c>
      <c r="Y19">
        <v>340.41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332</v>
      </c>
      <c r="AG19">
        <v>2.0499999999999998</v>
      </c>
      <c r="AH19">
        <v>2</v>
      </c>
      <c r="AI19">
        <v>78397528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5">
      <c r="A20">
        <f>ROW(Source!A33)</f>
        <v>33</v>
      </c>
      <c r="B20">
        <v>78397529</v>
      </c>
      <c r="C20">
        <v>78397521</v>
      </c>
      <c r="D20">
        <v>77496113</v>
      </c>
      <c r="E20">
        <v>1</v>
      </c>
      <c r="F20">
        <v>1</v>
      </c>
      <c r="G20">
        <v>1</v>
      </c>
      <c r="H20">
        <v>3</v>
      </c>
      <c r="I20" t="s">
        <v>105</v>
      </c>
      <c r="J20" t="s">
        <v>656</v>
      </c>
      <c r="K20" t="s">
        <v>106</v>
      </c>
      <c r="L20">
        <v>1339</v>
      </c>
      <c r="N20">
        <v>1007</v>
      </c>
      <c r="O20" t="s">
        <v>104</v>
      </c>
      <c r="P20" t="s">
        <v>104</v>
      </c>
      <c r="Q20">
        <v>1</v>
      </c>
      <c r="X20">
        <v>2.52</v>
      </c>
      <c r="Y20">
        <v>114.64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332</v>
      </c>
      <c r="AG20">
        <v>2.52</v>
      </c>
      <c r="AH20">
        <v>2</v>
      </c>
      <c r="AI20">
        <v>78397529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5">
      <c r="A21">
        <f>ROW(Source!A33)</f>
        <v>33</v>
      </c>
      <c r="B21">
        <v>78397530</v>
      </c>
      <c r="C21">
        <v>78397521</v>
      </c>
      <c r="D21">
        <v>77498725</v>
      </c>
      <c r="E21">
        <v>1</v>
      </c>
      <c r="F21">
        <v>1</v>
      </c>
      <c r="G21">
        <v>1</v>
      </c>
      <c r="H21">
        <v>3</v>
      </c>
      <c r="I21" t="s">
        <v>107</v>
      </c>
      <c r="J21" t="s">
        <v>657</v>
      </c>
      <c r="K21" t="s">
        <v>108</v>
      </c>
      <c r="L21">
        <v>1348</v>
      </c>
      <c r="N21">
        <v>1009</v>
      </c>
      <c r="O21" t="s">
        <v>87</v>
      </c>
      <c r="P21" t="s">
        <v>87</v>
      </c>
      <c r="Q21">
        <v>1000</v>
      </c>
      <c r="X21">
        <v>1E-3</v>
      </c>
      <c r="Y21">
        <v>97282.880000000005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332</v>
      </c>
      <c r="AG21">
        <v>1E-3</v>
      </c>
      <c r="AH21">
        <v>2</v>
      </c>
      <c r="AI21">
        <v>78397530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5">
      <c r="A22">
        <f>ROW(Source!A33)</f>
        <v>33</v>
      </c>
      <c r="B22">
        <v>78397531</v>
      </c>
      <c r="C22">
        <v>78397521</v>
      </c>
      <c r="D22">
        <v>77498850</v>
      </c>
      <c r="E22">
        <v>1</v>
      </c>
      <c r="F22">
        <v>1</v>
      </c>
      <c r="G22">
        <v>1</v>
      </c>
      <c r="H22">
        <v>3</v>
      </c>
      <c r="I22" t="s">
        <v>109</v>
      </c>
      <c r="J22" t="s">
        <v>658</v>
      </c>
      <c r="K22" t="s">
        <v>110</v>
      </c>
      <c r="L22">
        <v>1346</v>
      </c>
      <c r="N22">
        <v>1009</v>
      </c>
      <c r="O22" t="s">
        <v>111</v>
      </c>
      <c r="P22" t="s">
        <v>111</v>
      </c>
      <c r="Q22">
        <v>1</v>
      </c>
      <c r="X22">
        <v>6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332</v>
      </c>
      <c r="AG22">
        <v>6</v>
      </c>
      <c r="AH22">
        <v>2</v>
      </c>
      <c r="AI22">
        <v>78397531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5">
      <c r="A23">
        <f>ROW(Source!A33)</f>
        <v>33</v>
      </c>
      <c r="B23">
        <v>78397532</v>
      </c>
      <c r="C23">
        <v>78397521</v>
      </c>
      <c r="D23">
        <v>77428104</v>
      </c>
      <c r="E23">
        <v>117</v>
      </c>
      <c r="F23">
        <v>1</v>
      </c>
      <c r="G23">
        <v>1</v>
      </c>
      <c r="H23">
        <v>3</v>
      </c>
      <c r="I23" t="s">
        <v>700</v>
      </c>
      <c r="J23" t="s">
        <v>332</v>
      </c>
      <c r="K23" t="s">
        <v>701</v>
      </c>
      <c r="L23">
        <v>1371</v>
      </c>
      <c r="N23">
        <v>1013</v>
      </c>
      <c r="O23" t="s">
        <v>366</v>
      </c>
      <c r="P23" t="s">
        <v>366</v>
      </c>
      <c r="Q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332</v>
      </c>
      <c r="AG23">
        <v>0</v>
      </c>
      <c r="AH23">
        <v>3</v>
      </c>
      <c r="AI23">
        <v>-1</v>
      </c>
      <c r="AJ23" t="s">
        <v>332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5">
      <c r="A24">
        <f>ROW(Source!A33)</f>
        <v>33</v>
      </c>
      <c r="B24">
        <v>78397533</v>
      </c>
      <c r="C24">
        <v>78397521</v>
      </c>
      <c r="D24">
        <v>77428272</v>
      </c>
      <c r="E24">
        <v>117</v>
      </c>
      <c r="F24">
        <v>1</v>
      </c>
      <c r="G24">
        <v>1</v>
      </c>
      <c r="H24">
        <v>3</v>
      </c>
      <c r="I24" t="s">
        <v>702</v>
      </c>
      <c r="J24" t="s">
        <v>332</v>
      </c>
      <c r="K24" t="s">
        <v>703</v>
      </c>
      <c r="L24">
        <v>1301</v>
      </c>
      <c r="N24">
        <v>1003</v>
      </c>
      <c r="O24" t="s">
        <v>69</v>
      </c>
      <c r="P24" t="s">
        <v>69</v>
      </c>
      <c r="Q24">
        <v>1</v>
      </c>
      <c r="X24">
        <v>100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332</v>
      </c>
      <c r="AG24">
        <v>100</v>
      </c>
      <c r="AH24">
        <v>3</v>
      </c>
      <c r="AI24">
        <v>-1</v>
      </c>
      <c r="AJ24" t="s">
        <v>332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5">
      <c r="A25">
        <f>ROW(Source!A33)</f>
        <v>33</v>
      </c>
      <c r="B25">
        <v>78397534</v>
      </c>
      <c r="C25">
        <v>78397521</v>
      </c>
      <c r="D25">
        <v>77428933</v>
      </c>
      <c r="E25">
        <v>117</v>
      </c>
      <c r="F25">
        <v>1</v>
      </c>
      <c r="G25">
        <v>1</v>
      </c>
      <c r="H25">
        <v>3</v>
      </c>
      <c r="I25" t="s">
        <v>704</v>
      </c>
      <c r="J25" t="s">
        <v>332</v>
      </c>
      <c r="K25" t="s">
        <v>705</v>
      </c>
      <c r="L25">
        <v>1346</v>
      </c>
      <c r="N25">
        <v>1009</v>
      </c>
      <c r="O25" t="s">
        <v>111</v>
      </c>
      <c r="P25" t="s">
        <v>111</v>
      </c>
      <c r="Q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 t="s">
        <v>332</v>
      </c>
      <c r="AG25">
        <v>0</v>
      </c>
      <c r="AH25">
        <v>3</v>
      </c>
      <c r="AI25">
        <v>-1</v>
      </c>
      <c r="AJ25" t="s">
        <v>332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5">
      <c r="A26">
        <f>ROW(Source!A36)</f>
        <v>36</v>
      </c>
      <c r="B26">
        <v>78397575</v>
      </c>
      <c r="C26">
        <v>78397542</v>
      </c>
      <c r="D26">
        <v>77423808</v>
      </c>
      <c r="E26">
        <v>117</v>
      </c>
      <c r="F26">
        <v>1</v>
      </c>
      <c r="G26">
        <v>1</v>
      </c>
      <c r="H26">
        <v>1</v>
      </c>
      <c r="I26" t="s">
        <v>117</v>
      </c>
      <c r="J26" t="s">
        <v>332</v>
      </c>
      <c r="K26" t="s">
        <v>118</v>
      </c>
      <c r="L26">
        <v>1191</v>
      </c>
      <c r="N26">
        <v>1013</v>
      </c>
      <c r="O26" t="s">
        <v>31</v>
      </c>
      <c r="P26" t="s">
        <v>31</v>
      </c>
      <c r="Q26">
        <v>1</v>
      </c>
      <c r="X26">
        <v>5.31</v>
      </c>
      <c r="Y26">
        <v>0</v>
      </c>
      <c r="Z26">
        <v>0</v>
      </c>
      <c r="AA26">
        <v>0</v>
      </c>
      <c r="AB26">
        <v>797.48</v>
      </c>
      <c r="AC26">
        <v>0</v>
      </c>
      <c r="AD26">
        <v>1</v>
      </c>
      <c r="AE26">
        <v>1</v>
      </c>
      <c r="AF26" t="s">
        <v>388</v>
      </c>
      <c r="AG26">
        <v>12.212999999999999</v>
      </c>
      <c r="AH26">
        <v>2</v>
      </c>
      <c r="AI26">
        <v>78397543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5">
      <c r="A27">
        <f>ROW(Source!A36)</f>
        <v>36</v>
      </c>
      <c r="B27">
        <v>78397576</v>
      </c>
      <c r="C27">
        <v>78397542</v>
      </c>
      <c r="D27">
        <v>77423956</v>
      </c>
      <c r="E27">
        <v>117</v>
      </c>
      <c r="F27">
        <v>1</v>
      </c>
      <c r="G27">
        <v>1</v>
      </c>
      <c r="H27">
        <v>1</v>
      </c>
      <c r="I27" t="s">
        <v>647</v>
      </c>
      <c r="J27" t="s">
        <v>332</v>
      </c>
      <c r="K27" t="s">
        <v>648</v>
      </c>
      <c r="L27">
        <v>1191</v>
      </c>
      <c r="N27">
        <v>1013</v>
      </c>
      <c r="O27" t="s">
        <v>31</v>
      </c>
      <c r="P27" t="s">
        <v>31</v>
      </c>
      <c r="Q27">
        <v>1</v>
      </c>
      <c r="X27">
        <v>0.02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387</v>
      </c>
      <c r="AG27">
        <v>0.05</v>
      </c>
      <c r="AH27">
        <v>2</v>
      </c>
      <c r="AI27">
        <v>78397544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5">
      <c r="A28">
        <f>ROW(Source!A36)</f>
        <v>36</v>
      </c>
      <c r="B28">
        <v>78397577</v>
      </c>
      <c r="C28">
        <v>78397542</v>
      </c>
      <c r="D28">
        <v>77430584</v>
      </c>
      <c r="E28">
        <v>1</v>
      </c>
      <c r="F28">
        <v>1</v>
      </c>
      <c r="G28">
        <v>1</v>
      </c>
      <c r="H28">
        <v>2</v>
      </c>
      <c r="I28" t="s">
        <v>119</v>
      </c>
      <c r="J28" t="s">
        <v>659</v>
      </c>
      <c r="K28" t="s">
        <v>120</v>
      </c>
      <c r="L28">
        <v>1368</v>
      </c>
      <c r="N28">
        <v>1011</v>
      </c>
      <c r="O28" t="s">
        <v>59</v>
      </c>
      <c r="P28" t="s">
        <v>59</v>
      </c>
      <c r="Q28">
        <v>1</v>
      </c>
      <c r="X28">
        <v>0.01</v>
      </c>
      <c r="Y28">
        <v>0</v>
      </c>
      <c r="Z28">
        <v>6.62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387</v>
      </c>
      <c r="AG28">
        <v>2.5000000000000001E-2</v>
      </c>
      <c r="AH28">
        <v>2</v>
      </c>
      <c r="AI28">
        <v>78397545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5">
      <c r="A29">
        <f>ROW(Source!A36)</f>
        <v>36</v>
      </c>
      <c r="B29">
        <v>78397578</v>
      </c>
      <c r="C29">
        <v>78397542</v>
      </c>
      <c r="D29">
        <v>77430602</v>
      </c>
      <c r="E29">
        <v>1</v>
      </c>
      <c r="F29">
        <v>1</v>
      </c>
      <c r="G29">
        <v>1</v>
      </c>
      <c r="H29">
        <v>2</v>
      </c>
      <c r="I29" t="s">
        <v>121</v>
      </c>
      <c r="J29" t="s">
        <v>660</v>
      </c>
      <c r="K29" t="s">
        <v>122</v>
      </c>
      <c r="L29">
        <v>1368</v>
      </c>
      <c r="N29">
        <v>1011</v>
      </c>
      <c r="O29" t="s">
        <v>59</v>
      </c>
      <c r="P29" t="s">
        <v>59</v>
      </c>
      <c r="Q29">
        <v>1</v>
      </c>
      <c r="X29">
        <v>0.01</v>
      </c>
      <c r="Y29">
        <v>0</v>
      </c>
      <c r="Z29">
        <v>1593.71</v>
      </c>
      <c r="AA29">
        <v>829.81</v>
      </c>
      <c r="AB29">
        <v>0</v>
      </c>
      <c r="AC29">
        <v>0</v>
      </c>
      <c r="AD29">
        <v>1</v>
      </c>
      <c r="AE29">
        <v>0</v>
      </c>
      <c r="AF29" t="s">
        <v>387</v>
      </c>
      <c r="AG29">
        <v>2.5000000000000001E-2</v>
      </c>
      <c r="AH29">
        <v>2</v>
      </c>
      <c r="AI29">
        <v>78397546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5">
      <c r="A30">
        <f>ROW(Source!A36)</f>
        <v>36</v>
      </c>
      <c r="B30">
        <v>78397579</v>
      </c>
      <c r="C30">
        <v>78397542</v>
      </c>
      <c r="D30">
        <v>77431339</v>
      </c>
      <c r="E30">
        <v>1</v>
      </c>
      <c r="F30">
        <v>1</v>
      </c>
      <c r="G30">
        <v>1</v>
      </c>
      <c r="H30">
        <v>2</v>
      </c>
      <c r="I30" t="s">
        <v>62</v>
      </c>
      <c r="J30" t="s">
        <v>650</v>
      </c>
      <c r="K30" t="s">
        <v>63</v>
      </c>
      <c r="L30">
        <v>1368</v>
      </c>
      <c r="N30">
        <v>1011</v>
      </c>
      <c r="O30" t="s">
        <v>59</v>
      </c>
      <c r="P30" t="s">
        <v>59</v>
      </c>
      <c r="Q30">
        <v>1</v>
      </c>
      <c r="X30">
        <v>0.01</v>
      </c>
      <c r="Y30">
        <v>0</v>
      </c>
      <c r="Z30">
        <v>643.29</v>
      </c>
      <c r="AA30">
        <v>722.05</v>
      </c>
      <c r="AB30">
        <v>0</v>
      </c>
      <c r="AC30">
        <v>0</v>
      </c>
      <c r="AD30">
        <v>1</v>
      </c>
      <c r="AE30">
        <v>0</v>
      </c>
      <c r="AF30" t="s">
        <v>387</v>
      </c>
      <c r="AG30">
        <v>2.5000000000000001E-2</v>
      </c>
      <c r="AH30">
        <v>2</v>
      </c>
      <c r="AI30">
        <v>78397547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5">
      <c r="A31">
        <f>ROW(Source!A36)</f>
        <v>36</v>
      </c>
      <c r="B31">
        <v>78397580</v>
      </c>
      <c r="C31">
        <v>78397542</v>
      </c>
      <c r="D31">
        <v>77431896</v>
      </c>
      <c r="E31">
        <v>1</v>
      </c>
      <c r="F31">
        <v>1</v>
      </c>
      <c r="G31">
        <v>1</v>
      </c>
      <c r="H31">
        <v>2</v>
      </c>
      <c r="I31" t="s">
        <v>125</v>
      </c>
      <c r="J31" t="s">
        <v>661</v>
      </c>
      <c r="K31" t="s">
        <v>126</v>
      </c>
      <c r="L31">
        <v>1368</v>
      </c>
      <c r="N31">
        <v>1011</v>
      </c>
      <c r="O31" t="s">
        <v>59</v>
      </c>
      <c r="P31" t="s">
        <v>59</v>
      </c>
      <c r="Q31">
        <v>1</v>
      </c>
      <c r="X31">
        <v>1.1200000000000001</v>
      </c>
      <c r="Y31">
        <v>0</v>
      </c>
      <c r="Z31">
        <v>4.5199999999999996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387</v>
      </c>
      <c r="AG31">
        <v>2.8</v>
      </c>
      <c r="AH31">
        <v>2</v>
      </c>
      <c r="AI31">
        <v>78397548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5">
      <c r="A32">
        <f>ROW(Source!A36)</f>
        <v>36</v>
      </c>
      <c r="B32">
        <v>78397581</v>
      </c>
      <c r="C32">
        <v>78397542</v>
      </c>
      <c r="D32">
        <v>77516680</v>
      </c>
      <c r="E32">
        <v>1</v>
      </c>
      <c r="F32">
        <v>1</v>
      </c>
      <c r="G32">
        <v>1</v>
      </c>
      <c r="H32">
        <v>3</v>
      </c>
      <c r="I32" t="s">
        <v>127</v>
      </c>
      <c r="J32" t="s">
        <v>662</v>
      </c>
      <c r="K32" t="s">
        <v>128</v>
      </c>
      <c r="L32">
        <v>1348</v>
      </c>
      <c r="N32">
        <v>1009</v>
      </c>
      <c r="O32" t="s">
        <v>87</v>
      </c>
      <c r="P32" t="s">
        <v>87</v>
      </c>
      <c r="Q32">
        <v>1000</v>
      </c>
      <c r="X32">
        <v>8.9999999999999993E-3</v>
      </c>
      <c r="Y32">
        <v>51280.15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386</v>
      </c>
      <c r="AG32">
        <v>1.7999999999999999E-2</v>
      </c>
      <c r="AH32">
        <v>2</v>
      </c>
      <c r="AI32">
        <v>78397549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5">
      <c r="A33">
        <f>ROW(Source!A36)</f>
        <v>36</v>
      </c>
      <c r="B33">
        <v>78397582</v>
      </c>
      <c r="C33">
        <v>78397542</v>
      </c>
      <c r="D33">
        <v>77517151</v>
      </c>
      <c r="E33">
        <v>1</v>
      </c>
      <c r="F33">
        <v>1</v>
      </c>
      <c r="G33">
        <v>1</v>
      </c>
      <c r="H33">
        <v>3</v>
      </c>
      <c r="I33" t="s">
        <v>129</v>
      </c>
      <c r="J33" t="s">
        <v>663</v>
      </c>
      <c r="K33" t="s">
        <v>130</v>
      </c>
      <c r="L33">
        <v>1348</v>
      </c>
      <c r="N33">
        <v>1009</v>
      </c>
      <c r="O33" t="s">
        <v>87</v>
      </c>
      <c r="P33" t="s">
        <v>87</v>
      </c>
      <c r="Q33">
        <v>1000</v>
      </c>
      <c r="X33">
        <v>1.5E-3</v>
      </c>
      <c r="Y33">
        <v>75885.63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386</v>
      </c>
      <c r="AG33">
        <v>3.0000000000000001E-3</v>
      </c>
      <c r="AH33">
        <v>2</v>
      </c>
      <c r="AI33">
        <v>78397550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5">
      <c r="A34">
        <f>ROW(Source!A37)</f>
        <v>37</v>
      </c>
      <c r="B34">
        <v>78397583</v>
      </c>
      <c r="C34">
        <v>78397559</v>
      </c>
      <c r="D34">
        <v>77423768</v>
      </c>
      <c r="E34">
        <v>117</v>
      </c>
      <c r="F34">
        <v>1</v>
      </c>
      <c r="G34">
        <v>1</v>
      </c>
      <c r="H34">
        <v>1</v>
      </c>
      <c r="I34" t="s">
        <v>139</v>
      </c>
      <c r="J34" t="s">
        <v>332</v>
      </c>
      <c r="K34" t="s">
        <v>140</v>
      </c>
      <c r="L34">
        <v>1191</v>
      </c>
      <c r="N34">
        <v>1013</v>
      </c>
      <c r="O34" t="s">
        <v>31</v>
      </c>
      <c r="P34" t="s">
        <v>31</v>
      </c>
      <c r="Q34">
        <v>1</v>
      </c>
      <c r="X34">
        <v>64.599999999999994</v>
      </c>
      <c r="Y34">
        <v>0</v>
      </c>
      <c r="Z34">
        <v>0</v>
      </c>
      <c r="AA34">
        <v>0</v>
      </c>
      <c r="AB34">
        <v>665.47</v>
      </c>
      <c r="AC34">
        <v>0</v>
      </c>
      <c r="AD34">
        <v>1</v>
      </c>
      <c r="AE34">
        <v>1</v>
      </c>
      <c r="AF34" t="s">
        <v>402</v>
      </c>
      <c r="AG34">
        <v>74.290000000000006</v>
      </c>
      <c r="AH34">
        <v>2</v>
      </c>
      <c r="AI34">
        <v>78397560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5">
      <c r="A35">
        <f>ROW(Source!A37)</f>
        <v>37</v>
      </c>
      <c r="B35">
        <v>78397584</v>
      </c>
      <c r="C35">
        <v>78397559</v>
      </c>
      <c r="D35">
        <v>77423956</v>
      </c>
      <c r="E35">
        <v>117</v>
      </c>
      <c r="F35">
        <v>1</v>
      </c>
      <c r="G35">
        <v>1</v>
      </c>
      <c r="H35">
        <v>1</v>
      </c>
      <c r="I35" t="s">
        <v>647</v>
      </c>
      <c r="J35" t="s">
        <v>332</v>
      </c>
      <c r="K35" t="s">
        <v>648</v>
      </c>
      <c r="L35">
        <v>1191</v>
      </c>
      <c r="N35">
        <v>1013</v>
      </c>
      <c r="O35" t="s">
        <v>31</v>
      </c>
      <c r="P35" t="s">
        <v>31</v>
      </c>
      <c r="Q35">
        <v>1</v>
      </c>
      <c r="X35">
        <v>0.04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2</v>
      </c>
      <c r="AF35" t="s">
        <v>401</v>
      </c>
      <c r="AG35">
        <v>0.05</v>
      </c>
      <c r="AH35">
        <v>2</v>
      </c>
      <c r="AI35">
        <v>78397561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5">
      <c r="A36">
        <f>ROW(Source!A37)</f>
        <v>37</v>
      </c>
      <c r="B36">
        <v>78397585</v>
      </c>
      <c r="C36">
        <v>78397559</v>
      </c>
      <c r="D36">
        <v>77430632</v>
      </c>
      <c r="E36">
        <v>1</v>
      </c>
      <c r="F36">
        <v>1</v>
      </c>
      <c r="G36">
        <v>1</v>
      </c>
      <c r="H36">
        <v>2</v>
      </c>
      <c r="I36" t="s">
        <v>57</v>
      </c>
      <c r="J36" t="s">
        <v>649</v>
      </c>
      <c r="K36" t="s">
        <v>58</v>
      </c>
      <c r="L36">
        <v>1368</v>
      </c>
      <c r="N36">
        <v>1011</v>
      </c>
      <c r="O36" t="s">
        <v>59</v>
      </c>
      <c r="P36" t="s">
        <v>59</v>
      </c>
      <c r="Q36">
        <v>1</v>
      </c>
      <c r="X36">
        <v>0.01</v>
      </c>
      <c r="Y36">
        <v>0</v>
      </c>
      <c r="Z36">
        <v>37.32</v>
      </c>
      <c r="AA36">
        <v>641.22</v>
      </c>
      <c r="AB36">
        <v>0</v>
      </c>
      <c r="AC36">
        <v>0</v>
      </c>
      <c r="AD36">
        <v>1</v>
      </c>
      <c r="AE36">
        <v>0</v>
      </c>
      <c r="AF36" t="s">
        <v>401</v>
      </c>
      <c r="AG36">
        <v>1.2500000000000001E-2</v>
      </c>
      <c r="AH36">
        <v>2</v>
      </c>
      <c r="AI36">
        <v>78397562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5">
      <c r="A37">
        <f>ROW(Source!A37)</f>
        <v>37</v>
      </c>
      <c r="B37">
        <v>78397586</v>
      </c>
      <c r="C37">
        <v>78397559</v>
      </c>
      <c r="D37">
        <v>77431339</v>
      </c>
      <c r="E37">
        <v>1</v>
      </c>
      <c r="F37">
        <v>1</v>
      </c>
      <c r="G37">
        <v>1</v>
      </c>
      <c r="H37">
        <v>2</v>
      </c>
      <c r="I37" t="s">
        <v>62</v>
      </c>
      <c r="J37" t="s">
        <v>650</v>
      </c>
      <c r="K37" t="s">
        <v>63</v>
      </c>
      <c r="L37">
        <v>1368</v>
      </c>
      <c r="N37">
        <v>1011</v>
      </c>
      <c r="O37" t="s">
        <v>59</v>
      </c>
      <c r="P37" t="s">
        <v>59</v>
      </c>
      <c r="Q37">
        <v>1</v>
      </c>
      <c r="X37">
        <v>0.03</v>
      </c>
      <c r="Y37">
        <v>0</v>
      </c>
      <c r="Z37">
        <v>643.29</v>
      </c>
      <c r="AA37">
        <v>722.05</v>
      </c>
      <c r="AB37">
        <v>0</v>
      </c>
      <c r="AC37">
        <v>0</v>
      </c>
      <c r="AD37">
        <v>1</v>
      </c>
      <c r="AE37">
        <v>0</v>
      </c>
      <c r="AF37" t="s">
        <v>401</v>
      </c>
      <c r="AG37">
        <v>3.7499999999999999E-2</v>
      </c>
      <c r="AH37">
        <v>2</v>
      </c>
      <c r="AI37">
        <v>78397563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5">
      <c r="A38">
        <f>ROW(Source!A37)</f>
        <v>37</v>
      </c>
      <c r="B38">
        <v>78397587</v>
      </c>
      <c r="C38">
        <v>78397559</v>
      </c>
      <c r="D38">
        <v>77500752</v>
      </c>
      <c r="E38">
        <v>1</v>
      </c>
      <c r="F38">
        <v>1</v>
      </c>
      <c r="G38">
        <v>1</v>
      </c>
      <c r="H38">
        <v>3</v>
      </c>
      <c r="I38" t="s">
        <v>141</v>
      </c>
      <c r="J38" t="s">
        <v>664</v>
      </c>
      <c r="K38" t="s">
        <v>142</v>
      </c>
      <c r="L38">
        <v>1346</v>
      </c>
      <c r="N38">
        <v>1009</v>
      </c>
      <c r="O38" t="s">
        <v>111</v>
      </c>
      <c r="P38" t="s">
        <v>111</v>
      </c>
      <c r="Q38">
        <v>1</v>
      </c>
      <c r="X38">
        <v>0.3</v>
      </c>
      <c r="Y38">
        <v>56.11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332</v>
      </c>
      <c r="AG38">
        <v>0.3</v>
      </c>
      <c r="AH38">
        <v>2</v>
      </c>
      <c r="AI38">
        <v>78397564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5">
      <c r="A39">
        <f>ROW(Source!A37)</f>
        <v>37</v>
      </c>
      <c r="B39">
        <v>78397588</v>
      </c>
      <c r="C39">
        <v>78397559</v>
      </c>
      <c r="D39">
        <v>77427698</v>
      </c>
      <c r="E39">
        <v>117</v>
      </c>
      <c r="F39">
        <v>1</v>
      </c>
      <c r="G39">
        <v>1</v>
      </c>
      <c r="H39">
        <v>3</v>
      </c>
      <c r="I39" t="s">
        <v>706</v>
      </c>
      <c r="J39" t="s">
        <v>332</v>
      </c>
      <c r="K39" t="s">
        <v>707</v>
      </c>
      <c r="L39">
        <v>1346</v>
      </c>
      <c r="N39">
        <v>1009</v>
      </c>
      <c r="O39" t="s">
        <v>111</v>
      </c>
      <c r="P39" t="s">
        <v>111</v>
      </c>
      <c r="Q39">
        <v>1</v>
      </c>
      <c r="X39">
        <v>24.6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 t="s">
        <v>332</v>
      </c>
      <c r="AG39">
        <v>24.6</v>
      </c>
      <c r="AH39">
        <v>3</v>
      </c>
      <c r="AI39">
        <v>-1</v>
      </c>
      <c r="AJ39" t="s">
        <v>332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f>ROW(Source!A37)</f>
        <v>37</v>
      </c>
      <c r="B40">
        <v>78397589</v>
      </c>
      <c r="C40">
        <v>78397559</v>
      </c>
      <c r="D40">
        <v>77517068</v>
      </c>
      <c r="E40">
        <v>1</v>
      </c>
      <c r="F40">
        <v>1</v>
      </c>
      <c r="G40">
        <v>1</v>
      </c>
      <c r="H40">
        <v>3</v>
      </c>
      <c r="I40" t="s">
        <v>143</v>
      </c>
      <c r="J40" t="s">
        <v>665</v>
      </c>
      <c r="K40" t="s">
        <v>144</v>
      </c>
      <c r="L40">
        <v>1346</v>
      </c>
      <c r="N40">
        <v>1009</v>
      </c>
      <c r="O40" t="s">
        <v>111</v>
      </c>
      <c r="P40" t="s">
        <v>111</v>
      </c>
      <c r="Q40">
        <v>1</v>
      </c>
      <c r="X40">
        <v>2.7</v>
      </c>
      <c r="Y40">
        <v>133.31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332</v>
      </c>
      <c r="AG40">
        <v>2.7</v>
      </c>
      <c r="AH40">
        <v>2</v>
      </c>
      <c r="AI40">
        <v>78397566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5">
      <c r="A41">
        <f>ROW(Source!A39)</f>
        <v>39</v>
      </c>
      <c r="B41">
        <v>78397591</v>
      </c>
      <c r="C41">
        <v>78397590</v>
      </c>
      <c r="D41">
        <v>77423774</v>
      </c>
      <c r="E41">
        <v>117</v>
      </c>
      <c r="F41">
        <v>1</v>
      </c>
      <c r="G41">
        <v>1</v>
      </c>
      <c r="H41">
        <v>1</v>
      </c>
      <c r="I41" t="s">
        <v>152</v>
      </c>
      <c r="J41" t="s">
        <v>332</v>
      </c>
      <c r="K41" t="s">
        <v>153</v>
      </c>
      <c r="L41">
        <v>1191</v>
      </c>
      <c r="N41">
        <v>1013</v>
      </c>
      <c r="O41" t="s">
        <v>31</v>
      </c>
      <c r="P41" t="s">
        <v>31</v>
      </c>
      <c r="Q41">
        <v>1</v>
      </c>
      <c r="X41">
        <v>18.45</v>
      </c>
      <c r="Y41">
        <v>0</v>
      </c>
      <c r="Z41">
        <v>0</v>
      </c>
      <c r="AA41">
        <v>0</v>
      </c>
      <c r="AB41">
        <v>689.72</v>
      </c>
      <c r="AC41">
        <v>0</v>
      </c>
      <c r="AD41">
        <v>1</v>
      </c>
      <c r="AE41">
        <v>1</v>
      </c>
      <c r="AF41" t="s">
        <v>402</v>
      </c>
      <c r="AG41">
        <v>21.217500000000001</v>
      </c>
      <c r="AH41">
        <v>2</v>
      </c>
      <c r="AI41">
        <v>78397591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5">
      <c r="A42">
        <f>ROW(Source!A39)</f>
        <v>39</v>
      </c>
      <c r="B42">
        <v>78397592</v>
      </c>
      <c r="C42">
        <v>78397590</v>
      </c>
      <c r="D42">
        <v>77423956</v>
      </c>
      <c r="E42">
        <v>117</v>
      </c>
      <c r="F42">
        <v>1</v>
      </c>
      <c r="G42">
        <v>1</v>
      </c>
      <c r="H42">
        <v>1</v>
      </c>
      <c r="I42" t="s">
        <v>647</v>
      </c>
      <c r="J42" t="s">
        <v>332</v>
      </c>
      <c r="K42" t="s">
        <v>648</v>
      </c>
      <c r="L42">
        <v>1191</v>
      </c>
      <c r="N42">
        <v>1013</v>
      </c>
      <c r="O42" t="s">
        <v>31</v>
      </c>
      <c r="P42" t="s">
        <v>31</v>
      </c>
      <c r="Q42">
        <v>1</v>
      </c>
      <c r="X42">
        <v>0.37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401</v>
      </c>
      <c r="AG42">
        <v>0.46250000000000002</v>
      </c>
      <c r="AH42">
        <v>2</v>
      </c>
      <c r="AI42">
        <v>78397592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5">
      <c r="A43">
        <f>ROW(Source!A39)</f>
        <v>39</v>
      </c>
      <c r="B43">
        <v>78397593</v>
      </c>
      <c r="C43">
        <v>78397590</v>
      </c>
      <c r="D43">
        <v>77431339</v>
      </c>
      <c r="E43">
        <v>1</v>
      </c>
      <c r="F43">
        <v>1</v>
      </c>
      <c r="G43">
        <v>1</v>
      </c>
      <c r="H43">
        <v>2</v>
      </c>
      <c r="I43" t="s">
        <v>62</v>
      </c>
      <c r="J43" t="s">
        <v>650</v>
      </c>
      <c r="K43" t="s">
        <v>63</v>
      </c>
      <c r="L43">
        <v>1368</v>
      </c>
      <c r="N43">
        <v>1011</v>
      </c>
      <c r="O43" t="s">
        <v>59</v>
      </c>
      <c r="P43" t="s">
        <v>59</v>
      </c>
      <c r="Q43">
        <v>1</v>
      </c>
      <c r="X43">
        <v>0.37</v>
      </c>
      <c r="Y43">
        <v>0</v>
      </c>
      <c r="Z43">
        <v>643.29</v>
      </c>
      <c r="AA43">
        <v>722.05</v>
      </c>
      <c r="AB43">
        <v>0</v>
      </c>
      <c r="AC43">
        <v>0</v>
      </c>
      <c r="AD43">
        <v>1</v>
      </c>
      <c r="AE43">
        <v>0</v>
      </c>
      <c r="AF43" t="s">
        <v>401</v>
      </c>
      <c r="AG43">
        <v>0.46250000000000002</v>
      </c>
      <c r="AH43">
        <v>2</v>
      </c>
      <c r="AI43">
        <v>78397593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5">
      <c r="A44">
        <f>ROW(Source!A39)</f>
        <v>39</v>
      </c>
      <c r="B44">
        <v>78397594</v>
      </c>
      <c r="C44">
        <v>78397590</v>
      </c>
      <c r="D44">
        <v>77432088</v>
      </c>
      <c r="E44">
        <v>1</v>
      </c>
      <c r="F44">
        <v>1</v>
      </c>
      <c r="G44">
        <v>1</v>
      </c>
      <c r="H44">
        <v>2</v>
      </c>
      <c r="I44" t="s">
        <v>154</v>
      </c>
      <c r="J44" t="s">
        <v>666</v>
      </c>
      <c r="K44" t="s">
        <v>155</v>
      </c>
      <c r="L44">
        <v>1368</v>
      </c>
      <c r="N44">
        <v>1011</v>
      </c>
      <c r="O44" t="s">
        <v>59</v>
      </c>
      <c r="P44" t="s">
        <v>59</v>
      </c>
      <c r="Q44">
        <v>1</v>
      </c>
      <c r="X44">
        <v>1.18</v>
      </c>
      <c r="Y44">
        <v>0</v>
      </c>
      <c r="Z44">
        <v>21.39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401</v>
      </c>
      <c r="AG44">
        <v>1.4750000000000001</v>
      </c>
      <c r="AH44">
        <v>2</v>
      </c>
      <c r="AI44">
        <v>78397594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5">
      <c r="A45">
        <f>ROW(Source!A39)</f>
        <v>39</v>
      </c>
      <c r="B45">
        <v>78397595</v>
      </c>
      <c r="C45">
        <v>78397590</v>
      </c>
      <c r="D45">
        <v>77499974</v>
      </c>
      <c r="E45">
        <v>1</v>
      </c>
      <c r="F45">
        <v>1</v>
      </c>
      <c r="G45">
        <v>1</v>
      </c>
      <c r="H45">
        <v>3</v>
      </c>
      <c r="I45" t="s">
        <v>156</v>
      </c>
      <c r="J45" t="s">
        <v>667</v>
      </c>
      <c r="K45" t="s">
        <v>157</v>
      </c>
      <c r="L45">
        <v>1348</v>
      </c>
      <c r="N45">
        <v>1009</v>
      </c>
      <c r="O45" t="s">
        <v>87</v>
      </c>
      <c r="P45" t="s">
        <v>87</v>
      </c>
      <c r="Q45">
        <v>1000</v>
      </c>
      <c r="X45">
        <v>4.0000000000000003E-5</v>
      </c>
      <c r="Y45">
        <v>263215.45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332</v>
      </c>
      <c r="AG45">
        <v>4.0000000000000003E-5</v>
      </c>
      <c r="AH45">
        <v>2</v>
      </c>
      <c r="AI45">
        <v>78397595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5">
      <c r="A46">
        <f>ROW(Source!A39)</f>
        <v>39</v>
      </c>
      <c r="B46">
        <v>78397596</v>
      </c>
      <c r="C46">
        <v>78397590</v>
      </c>
      <c r="D46">
        <v>77506748</v>
      </c>
      <c r="E46">
        <v>1</v>
      </c>
      <c r="F46">
        <v>1</v>
      </c>
      <c r="G46">
        <v>1</v>
      </c>
      <c r="H46">
        <v>3</v>
      </c>
      <c r="I46" t="s">
        <v>158</v>
      </c>
      <c r="J46" t="s">
        <v>668</v>
      </c>
      <c r="K46" t="s">
        <v>159</v>
      </c>
      <c r="L46">
        <v>1348</v>
      </c>
      <c r="N46">
        <v>1009</v>
      </c>
      <c r="O46" t="s">
        <v>87</v>
      </c>
      <c r="P46" t="s">
        <v>87</v>
      </c>
      <c r="Q46">
        <v>1000</v>
      </c>
      <c r="X46">
        <v>1.09E-2</v>
      </c>
      <c r="Y46">
        <v>89073.2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332</v>
      </c>
      <c r="AG46">
        <v>1.09E-2</v>
      </c>
      <c r="AH46">
        <v>2</v>
      </c>
      <c r="AI46">
        <v>78397596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5">
      <c r="A47">
        <f>ROW(Source!A39)</f>
        <v>39</v>
      </c>
      <c r="B47">
        <v>78397597</v>
      </c>
      <c r="C47">
        <v>78397590</v>
      </c>
      <c r="D47">
        <v>77506800</v>
      </c>
      <c r="E47">
        <v>1</v>
      </c>
      <c r="F47">
        <v>1</v>
      </c>
      <c r="G47">
        <v>1</v>
      </c>
      <c r="H47">
        <v>3</v>
      </c>
      <c r="I47" t="s">
        <v>160</v>
      </c>
      <c r="J47" t="s">
        <v>669</v>
      </c>
      <c r="K47" t="s">
        <v>161</v>
      </c>
      <c r="L47">
        <v>1348</v>
      </c>
      <c r="N47">
        <v>1009</v>
      </c>
      <c r="O47" t="s">
        <v>87</v>
      </c>
      <c r="P47" t="s">
        <v>87</v>
      </c>
      <c r="Q47">
        <v>1000</v>
      </c>
      <c r="X47">
        <v>1.1000000000000001E-3</v>
      </c>
      <c r="Y47">
        <v>129575.7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332</v>
      </c>
      <c r="AG47">
        <v>1.1000000000000001E-3</v>
      </c>
      <c r="AH47">
        <v>2</v>
      </c>
      <c r="AI47">
        <v>78397597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5">
      <c r="A48">
        <f>ROW(Source!A39)</f>
        <v>39</v>
      </c>
      <c r="B48">
        <v>78397598</v>
      </c>
      <c r="C48">
        <v>78397590</v>
      </c>
      <c r="D48">
        <v>77506801</v>
      </c>
      <c r="E48">
        <v>1</v>
      </c>
      <c r="F48">
        <v>1</v>
      </c>
      <c r="G48">
        <v>1</v>
      </c>
      <c r="H48">
        <v>3</v>
      </c>
      <c r="I48" t="s">
        <v>162</v>
      </c>
      <c r="J48" t="s">
        <v>670</v>
      </c>
      <c r="K48" t="s">
        <v>163</v>
      </c>
      <c r="L48">
        <v>1348</v>
      </c>
      <c r="N48">
        <v>1009</v>
      </c>
      <c r="O48" t="s">
        <v>87</v>
      </c>
      <c r="P48" t="s">
        <v>87</v>
      </c>
      <c r="Q48">
        <v>1000</v>
      </c>
      <c r="X48">
        <v>4.0000000000000001E-3</v>
      </c>
      <c r="Y48">
        <v>87245.7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332</v>
      </c>
      <c r="AG48">
        <v>4.0000000000000001E-3</v>
      </c>
      <c r="AH48">
        <v>2</v>
      </c>
      <c r="AI48">
        <v>78397598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5">
      <c r="A49">
        <f>ROW(Source!A39)</f>
        <v>39</v>
      </c>
      <c r="B49">
        <v>78397599</v>
      </c>
      <c r="C49">
        <v>78397590</v>
      </c>
      <c r="D49">
        <v>77506958</v>
      </c>
      <c r="E49">
        <v>1</v>
      </c>
      <c r="F49">
        <v>1</v>
      </c>
      <c r="G49">
        <v>1</v>
      </c>
      <c r="H49">
        <v>3</v>
      </c>
      <c r="I49" t="s">
        <v>164</v>
      </c>
      <c r="J49" t="s">
        <v>671</v>
      </c>
      <c r="K49" t="s">
        <v>165</v>
      </c>
      <c r="L49">
        <v>1348</v>
      </c>
      <c r="N49">
        <v>1009</v>
      </c>
      <c r="O49" t="s">
        <v>87</v>
      </c>
      <c r="P49" t="s">
        <v>87</v>
      </c>
      <c r="Q49">
        <v>1000</v>
      </c>
      <c r="X49">
        <v>3.9E-2</v>
      </c>
      <c r="Y49">
        <v>75628.100000000006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332</v>
      </c>
      <c r="AG49">
        <v>3.9E-2</v>
      </c>
      <c r="AH49">
        <v>2</v>
      </c>
      <c r="AI49">
        <v>78397599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5">
      <c r="A50">
        <f>ROW(Source!A39)</f>
        <v>39</v>
      </c>
      <c r="B50">
        <v>78397600</v>
      </c>
      <c r="C50">
        <v>78397590</v>
      </c>
      <c r="D50">
        <v>77427420</v>
      </c>
      <c r="E50">
        <v>117</v>
      </c>
      <c r="F50">
        <v>1</v>
      </c>
      <c r="G50">
        <v>1</v>
      </c>
      <c r="H50">
        <v>3</v>
      </c>
      <c r="I50" t="s">
        <v>708</v>
      </c>
      <c r="J50" t="s">
        <v>332</v>
      </c>
      <c r="K50" t="s">
        <v>709</v>
      </c>
      <c r="L50">
        <v>1339</v>
      </c>
      <c r="N50">
        <v>1007</v>
      </c>
      <c r="O50" t="s">
        <v>104</v>
      </c>
      <c r="P50" t="s">
        <v>104</v>
      </c>
      <c r="Q50">
        <v>1</v>
      </c>
      <c r="X50">
        <v>1.032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332</v>
      </c>
      <c r="AG50">
        <v>1.032</v>
      </c>
      <c r="AH50">
        <v>3</v>
      </c>
      <c r="AI50">
        <v>-1</v>
      </c>
      <c r="AJ50" t="s">
        <v>332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5">
      <c r="A51">
        <f>ROW(Source!A76)</f>
        <v>76</v>
      </c>
      <c r="B51">
        <v>78397631</v>
      </c>
      <c r="C51">
        <v>78397618</v>
      </c>
      <c r="D51">
        <v>28080807</v>
      </c>
      <c r="E51">
        <v>117</v>
      </c>
      <c r="F51">
        <v>1</v>
      </c>
      <c r="G51">
        <v>1</v>
      </c>
      <c r="H51">
        <v>1</v>
      </c>
      <c r="I51" t="s">
        <v>96</v>
      </c>
      <c r="J51" t="s">
        <v>332</v>
      </c>
      <c r="K51" t="s">
        <v>97</v>
      </c>
      <c r="L51">
        <v>1191</v>
      </c>
      <c r="N51">
        <v>1013</v>
      </c>
      <c r="O51" t="s">
        <v>31</v>
      </c>
      <c r="P51" t="s">
        <v>31</v>
      </c>
      <c r="Q51">
        <v>1</v>
      </c>
      <c r="X51">
        <v>174.8</v>
      </c>
      <c r="Y51">
        <v>0</v>
      </c>
      <c r="Z51">
        <v>0</v>
      </c>
      <c r="AA51">
        <v>0</v>
      </c>
      <c r="AB51">
        <v>722.05</v>
      </c>
      <c r="AC51">
        <v>0</v>
      </c>
      <c r="AD51">
        <v>1</v>
      </c>
      <c r="AE51">
        <v>1</v>
      </c>
      <c r="AF51" t="s">
        <v>332</v>
      </c>
      <c r="AG51">
        <v>174.8</v>
      </c>
      <c r="AH51">
        <v>2</v>
      </c>
      <c r="AI51">
        <v>78397619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5">
      <c r="A52">
        <f>ROW(Source!A76)</f>
        <v>76</v>
      </c>
      <c r="B52">
        <v>78397632</v>
      </c>
      <c r="C52">
        <v>78397618</v>
      </c>
      <c r="D52">
        <v>28074654</v>
      </c>
      <c r="E52">
        <v>117</v>
      </c>
      <c r="F52">
        <v>1</v>
      </c>
      <c r="G52">
        <v>1</v>
      </c>
      <c r="H52">
        <v>1</v>
      </c>
      <c r="I52" t="s">
        <v>647</v>
      </c>
      <c r="J52" t="s">
        <v>332</v>
      </c>
      <c r="K52" t="s">
        <v>648</v>
      </c>
      <c r="L52">
        <v>1191</v>
      </c>
      <c r="N52">
        <v>1013</v>
      </c>
      <c r="O52" t="s">
        <v>31</v>
      </c>
      <c r="P52" t="s">
        <v>31</v>
      </c>
      <c r="Q52">
        <v>1</v>
      </c>
      <c r="X52">
        <v>0.72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2</v>
      </c>
      <c r="AF52" t="s">
        <v>332</v>
      </c>
      <c r="AG52">
        <v>0.72</v>
      </c>
      <c r="AH52">
        <v>2</v>
      </c>
      <c r="AI52">
        <v>78397620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5">
      <c r="A53">
        <f>ROW(Source!A76)</f>
        <v>76</v>
      </c>
      <c r="B53">
        <v>78397633</v>
      </c>
      <c r="C53">
        <v>78397618</v>
      </c>
      <c r="D53">
        <v>77430632</v>
      </c>
      <c r="E53">
        <v>1</v>
      </c>
      <c r="F53">
        <v>1</v>
      </c>
      <c r="G53">
        <v>1</v>
      </c>
      <c r="H53">
        <v>2</v>
      </c>
      <c r="I53" t="s">
        <v>57</v>
      </c>
      <c r="J53" t="s">
        <v>649</v>
      </c>
      <c r="K53" t="s">
        <v>58</v>
      </c>
      <c r="L53">
        <v>1368</v>
      </c>
      <c r="N53">
        <v>1011</v>
      </c>
      <c r="O53" t="s">
        <v>59</v>
      </c>
      <c r="P53" t="s">
        <v>59</v>
      </c>
      <c r="Q53">
        <v>1</v>
      </c>
      <c r="X53">
        <v>0.36</v>
      </c>
      <c r="Y53">
        <v>0</v>
      </c>
      <c r="Z53">
        <v>37.32</v>
      </c>
      <c r="AA53">
        <v>641.22</v>
      </c>
      <c r="AB53">
        <v>0</v>
      </c>
      <c r="AC53">
        <v>0</v>
      </c>
      <c r="AD53">
        <v>1</v>
      </c>
      <c r="AE53">
        <v>0</v>
      </c>
      <c r="AF53" t="s">
        <v>332</v>
      </c>
      <c r="AG53">
        <v>0.36</v>
      </c>
      <c r="AH53">
        <v>2</v>
      </c>
      <c r="AI53">
        <v>78397621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5">
      <c r="A54">
        <f>ROW(Source!A76)</f>
        <v>76</v>
      </c>
      <c r="B54">
        <v>78397634</v>
      </c>
      <c r="C54">
        <v>78397618</v>
      </c>
      <c r="D54">
        <v>77431339</v>
      </c>
      <c r="E54">
        <v>1</v>
      </c>
      <c r="F54">
        <v>1</v>
      </c>
      <c r="G54">
        <v>1</v>
      </c>
      <c r="H54">
        <v>2</v>
      </c>
      <c r="I54" t="s">
        <v>62</v>
      </c>
      <c r="J54" t="s">
        <v>650</v>
      </c>
      <c r="K54" t="s">
        <v>63</v>
      </c>
      <c r="L54">
        <v>1368</v>
      </c>
      <c r="N54">
        <v>1011</v>
      </c>
      <c r="O54" t="s">
        <v>59</v>
      </c>
      <c r="P54" t="s">
        <v>59</v>
      </c>
      <c r="Q54">
        <v>1</v>
      </c>
      <c r="X54">
        <v>0.36</v>
      </c>
      <c r="Y54">
        <v>0</v>
      </c>
      <c r="Z54">
        <v>643.29</v>
      </c>
      <c r="AA54">
        <v>722.05</v>
      </c>
      <c r="AB54">
        <v>0</v>
      </c>
      <c r="AC54">
        <v>0</v>
      </c>
      <c r="AD54">
        <v>1</v>
      </c>
      <c r="AE54">
        <v>0</v>
      </c>
      <c r="AF54" t="s">
        <v>332</v>
      </c>
      <c r="AG54">
        <v>0.36</v>
      </c>
      <c r="AH54">
        <v>2</v>
      </c>
      <c r="AI54">
        <v>78397622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5">
      <c r="A55">
        <f>ROW(Source!A76)</f>
        <v>76</v>
      </c>
      <c r="B55">
        <v>78397635</v>
      </c>
      <c r="C55">
        <v>78397618</v>
      </c>
      <c r="D55">
        <v>77431497</v>
      </c>
      <c r="E55">
        <v>1</v>
      </c>
      <c r="F55">
        <v>1</v>
      </c>
      <c r="G55">
        <v>1</v>
      </c>
      <c r="H55">
        <v>2</v>
      </c>
      <c r="I55" t="s">
        <v>98</v>
      </c>
      <c r="J55" t="s">
        <v>653</v>
      </c>
      <c r="K55" t="s">
        <v>99</v>
      </c>
      <c r="L55">
        <v>1368</v>
      </c>
      <c r="N55">
        <v>1011</v>
      </c>
      <c r="O55" t="s">
        <v>59</v>
      </c>
      <c r="P55" t="s">
        <v>59</v>
      </c>
      <c r="Q55">
        <v>1</v>
      </c>
      <c r="X55">
        <v>8.9</v>
      </c>
      <c r="Y55">
        <v>0</v>
      </c>
      <c r="Z55">
        <v>4.3499999999999996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332</v>
      </c>
      <c r="AG55">
        <v>8.9</v>
      </c>
      <c r="AH55">
        <v>2</v>
      </c>
      <c r="AI55">
        <v>78397623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5">
      <c r="A56">
        <f>ROW(Source!A76)</f>
        <v>76</v>
      </c>
      <c r="B56">
        <v>78397636</v>
      </c>
      <c r="C56">
        <v>78397618</v>
      </c>
      <c r="D56">
        <v>77431535</v>
      </c>
      <c r="E56">
        <v>1</v>
      </c>
      <c r="F56">
        <v>1</v>
      </c>
      <c r="G56">
        <v>1</v>
      </c>
      <c r="H56">
        <v>2</v>
      </c>
      <c r="I56" t="s">
        <v>100</v>
      </c>
      <c r="J56" t="s">
        <v>654</v>
      </c>
      <c r="K56" t="s">
        <v>101</v>
      </c>
      <c r="L56">
        <v>1368</v>
      </c>
      <c r="N56">
        <v>1011</v>
      </c>
      <c r="O56" t="s">
        <v>59</v>
      </c>
      <c r="P56" t="s">
        <v>59</v>
      </c>
      <c r="Q56">
        <v>1</v>
      </c>
      <c r="X56">
        <v>25.9</v>
      </c>
      <c r="Y56">
        <v>0</v>
      </c>
      <c r="Z56">
        <v>32.26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332</v>
      </c>
      <c r="AG56">
        <v>25.9</v>
      </c>
      <c r="AH56">
        <v>2</v>
      </c>
      <c r="AI56">
        <v>78397624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5">
      <c r="A57">
        <f>ROW(Source!A76)</f>
        <v>76</v>
      </c>
      <c r="B57">
        <v>78397637</v>
      </c>
      <c r="C57">
        <v>78397618</v>
      </c>
      <c r="D57">
        <v>77496097</v>
      </c>
      <c r="E57">
        <v>1</v>
      </c>
      <c r="F57">
        <v>1</v>
      </c>
      <c r="G57">
        <v>1</v>
      </c>
      <c r="H57">
        <v>3</v>
      </c>
      <c r="I57" t="s">
        <v>102</v>
      </c>
      <c r="J57" t="s">
        <v>655</v>
      </c>
      <c r="K57" t="s">
        <v>103</v>
      </c>
      <c r="L57">
        <v>1339</v>
      </c>
      <c r="N57">
        <v>1007</v>
      </c>
      <c r="O57" t="s">
        <v>104</v>
      </c>
      <c r="P57" t="s">
        <v>104</v>
      </c>
      <c r="Q57">
        <v>1</v>
      </c>
      <c r="X57">
        <v>2.0499999999999998</v>
      </c>
      <c r="Y57">
        <v>340.41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332</v>
      </c>
      <c r="AG57">
        <v>2.0499999999999998</v>
      </c>
      <c r="AH57">
        <v>2</v>
      </c>
      <c r="AI57">
        <v>78397625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5">
      <c r="A58">
        <f>ROW(Source!A76)</f>
        <v>76</v>
      </c>
      <c r="B58">
        <v>78397638</v>
      </c>
      <c r="C58">
        <v>78397618</v>
      </c>
      <c r="D58">
        <v>77496113</v>
      </c>
      <c r="E58">
        <v>1</v>
      </c>
      <c r="F58">
        <v>1</v>
      </c>
      <c r="G58">
        <v>1</v>
      </c>
      <c r="H58">
        <v>3</v>
      </c>
      <c r="I58" t="s">
        <v>105</v>
      </c>
      <c r="J58" t="s">
        <v>656</v>
      </c>
      <c r="K58" t="s">
        <v>106</v>
      </c>
      <c r="L58">
        <v>1339</v>
      </c>
      <c r="N58">
        <v>1007</v>
      </c>
      <c r="O58" t="s">
        <v>104</v>
      </c>
      <c r="P58" t="s">
        <v>104</v>
      </c>
      <c r="Q58">
        <v>1</v>
      </c>
      <c r="X58">
        <v>2.52</v>
      </c>
      <c r="Y58">
        <v>114.64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332</v>
      </c>
      <c r="AG58">
        <v>2.52</v>
      </c>
      <c r="AH58">
        <v>2</v>
      </c>
      <c r="AI58">
        <v>78397626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5">
      <c r="A59">
        <f>ROW(Source!A76)</f>
        <v>76</v>
      </c>
      <c r="B59">
        <v>78397639</v>
      </c>
      <c r="C59">
        <v>78397618</v>
      </c>
      <c r="D59">
        <v>77498725</v>
      </c>
      <c r="E59">
        <v>1</v>
      </c>
      <c r="F59">
        <v>1</v>
      </c>
      <c r="G59">
        <v>1</v>
      </c>
      <c r="H59">
        <v>3</v>
      </c>
      <c r="I59" t="s">
        <v>107</v>
      </c>
      <c r="J59" t="s">
        <v>657</v>
      </c>
      <c r="K59" t="s">
        <v>108</v>
      </c>
      <c r="L59">
        <v>1348</v>
      </c>
      <c r="N59">
        <v>1009</v>
      </c>
      <c r="O59" t="s">
        <v>87</v>
      </c>
      <c r="P59" t="s">
        <v>87</v>
      </c>
      <c r="Q59">
        <v>1000</v>
      </c>
      <c r="X59">
        <v>1E-3</v>
      </c>
      <c r="Y59">
        <v>97282.880000000005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332</v>
      </c>
      <c r="AG59">
        <v>1E-3</v>
      </c>
      <c r="AH59">
        <v>2</v>
      </c>
      <c r="AI59">
        <v>78397627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5">
      <c r="A60">
        <f>ROW(Source!A76)</f>
        <v>76</v>
      </c>
      <c r="B60">
        <v>78397640</v>
      </c>
      <c r="C60">
        <v>78397618</v>
      </c>
      <c r="D60">
        <v>77498850</v>
      </c>
      <c r="E60">
        <v>1</v>
      </c>
      <c r="F60">
        <v>1</v>
      </c>
      <c r="G60">
        <v>1</v>
      </c>
      <c r="H60">
        <v>3</v>
      </c>
      <c r="I60" t="s">
        <v>109</v>
      </c>
      <c r="J60" t="s">
        <v>658</v>
      </c>
      <c r="K60" t="s">
        <v>110</v>
      </c>
      <c r="L60">
        <v>1346</v>
      </c>
      <c r="N60">
        <v>1009</v>
      </c>
      <c r="O60" t="s">
        <v>111</v>
      </c>
      <c r="P60" t="s">
        <v>111</v>
      </c>
      <c r="Q60">
        <v>1</v>
      </c>
      <c r="X60">
        <v>6</v>
      </c>
      <c r="Y60">
        <v>155.63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332</v>
      </c>
      <c r="AG60">
        <v>6</v>
      </c>
      <c r="AH60">
        <v>2</v>
      </c>
      <c r="AI60">
        <v>78397628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5">
      <c r="A61">
        <f>ROW(Source!A76)</f>
        <v>76</v>
      </c>
      <c r="B61">
        <v>78397641</v>
      </c>
      <c r="C61">
        <v>78397618</v>
      </c>
      <c r="D61">
        <v>77428104</v>
      </c>
      <c r="E61">
        <v>117</v>
      </c>
      <c r="F61">
        <v>1</v>
      </c>
      <c r="G61">
        <v>1</v>
      </c>
      <c r="H61">
        <v>3</v>
      </c>
      <c r="I61" t="s">
        <v>700</v>
      </c>
      <c r="J61" t="s">
        <v>332</v>
      </c>
      <c r="K61" t="s">
        <v>701</v>
      </c>
      <c r="L61">
        <v>1371</v>
      </c>
      <c r="N61">
        <v>1013</v>
      </c>
      <c r="O61" t="s">
        <v>366</v>
      </c>
      <c r="P61" t="s">
        <v>366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332</v>
      </c>
      <c r="AG61">
        <v>0</v>
      </c>
      <c r="AH61">
        <v>3</v>
      </c>
      <c r="AI61">
        <v>-1</v>
      </c>
      <c r="AJ61" t="s">
        <v>332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5">
      <c r="A62">
        <f>ROW(Source!A76)</f>
        <v>76</v>
      </c>
      <c r="B62">
        <v>78397642</v>
      </c>
      <c r="C62">
        <v>78397618</v>
      </c>
      <c r="D62">
        <v>77428272</v>
      </c>
      <c r="E62">
        <v>117</v>
      </c>
      <c r="F62">
        <v>1</v>
      </c>
      <c r="G62">
        <v>1</v>
      </c>
      <c r="H62">
        <v>3</v>
      </c>
      <c r="I62" t="s">
        <v>702</v>
      </c>
      <c r="J62" t="s">
        <v>332</v>
      </c>
      <c r="K62" t="s">
        <v>703</v>
      </c>
      <c r="L62">
        <v>1301</v>
      </c>
      <c r="N62">
        <v>1003</v>
      </c>
      <c r="O62" t="s">
        <v>69</v>
      </c>
      <c r="P62" t="s">
        <v>69</v>
      </c>
      <c r="Q62">
        <v>1</v>
      </c>
      <c r="X62">
        <v>100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332</v>
      </c>
      <c r="AG62">
        <v>100</v>
      </c>
      <c r="AH62">
        <v>3</v>
      </c>
      <c r="AI62">
        <v>-1</v>
      </c>
      <c r="AJ62" t="s">
        <v>332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5">
      <c r="A63">
        <f>ROW(Source!A76)</f>
        <v>76</v>
      </c>
      <c r="B63">
        <v>78397643</v>
      </c>
      <c r="C63">
        <v>78397618</v>
      </c>
      <c r="D63">
        <v>77428933</v>
      </c>
      <c r="E63">
        <v>117</v>
      </c>
      <c r="F63">
        <v>1</v>
      </c>
      <c r="G63">
        <v>1</v>
      </c>
      <c r="H63">
        <v>3</v>
      </c>
      <c r="I63" t="s">
        <v>704</v>
      </c>
      <c r="J63" t="s">
        <v>332</v>
      </c>
      <c r="K63" t="s">
        <v>705</v>
      </c>
      <c r="L63">
        <v>1346</v>
      </c>
      <c r="N63">
        <v>1009</v>
      </c>
      <c r="O63" t="s">
        <v>111</v>
      </c>
      <c r="P63" t="s">
        <v>111</v>
      </c>
      <c r="Q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 t="s">
        <v>332</v>
      </c>
      <c r="AG63">
        <v>0</v>
      </c>
      <c r="AH63">
        <v>3</v>
      </c>
      <c r="AI63">
        <v>-1</v>
      </c>
      <c r="AJ63" t="s">
        <v>332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5">
      <c r="A64">
        <f>ROW(Source!A80)</f>
        <v>80</v>
      </c>
      <c r="B64">
        <v>78397649</v>
      </c>
      <c r="C64">
        <v>78397648</v>
      </c>
      <c r="D64">
        <v>77423764</v>
      </c>
      <c r="E64">
        <v>117</v>
      </c>
      <c r="F64">
        <v>1</v>
      </c>
      <c r="G64">
        <v>1</v>
      </c>
      <c r="H64">
        <v>1</v>
      </c>
      <c r="I64" t="s">
        <v>204</v>
      </c>
      <c r="J64" t="s">
        <v>332</v>
      </c>
      <c r="K64" t="s">
        <v>205</v>
      </c>
      <c r="L64">
        <v>1191</v>
      </c>
      <c r="N64">
        <v>1013</v>
      </c>
      <c r="O64" t="s">
        <v>31</v>
      </c>
      <c r="P64" t="s">
        <v>31</v>
      </c>
      <c r="Q64">
        <v>1</v>
      </c>
      <c r="X64">
        <v>9.58</v>
      </c>
      <c r="Y64">
        <v>0</v>
      </c>
      <c r="Z64">
        <v>0</v>
      </c>
      <c r="AA64">
        <v>0</v>
      </c>
      <c r="AB64">
        <v>649.29999999999995</v>
      </c>
      <c r="AC64">
        <v>0</v>
      </c>
      <c r="AD64">
        <v>1</v>
      </c>
      <c r="AE64">
        <v>1</v>
      </c>
      <c r="AF64" t="s">
        <v>332</v>
      </c>
      <c r="AG64">
        <v>9.58</v>
      </c>
      <c r="AH64">
        <v>2</v>
      </c>
      <c r="AI64">
        <v>78397649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5">
      <c r="A65">
        <f>ROW(Source!A80)</f>
        <v>80</v>
      </c>
      <c r="B65">
        <v>78397650</v>
      </c>
      <c r="C65">
        <v>78397648</v>
      </c>
      <c r="D65">
        <v>77423956</v>
      </c>
      <c r="E65">
        <v>117</v>
      </c>
      <c r="F65">
        <v>1</v>
      </c>
      <c r="G65">
        <v>1</v>
      </c>
      <c r="H65">
        <v>1</v>
      </c>
      <c r="I65" t="s">
        <v>647</v>
      </c>
      <c r="J65" t="s">
        <v>332</v>
      </c>
      <c r="K65" t="s">
        <v>648</v>
      </c>
      <c r="L65">
        <v>1191</v>
      </c>
      <c r="N65">
        <v>1013</v>
      </c>
      <c r="O65" t="s">
        <v>31</v>
      </c>
      <c r="P65" t="s">
        <v>31</v>
      </c>
      <c r="Q65">
        <v>1</v>
      </c>
      <c r="X65">
        <v>0.2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2</v>
      </c>
      <c r="AF65" t="s">
        <v>332</v>
      </c>
      <c r="AG65">
        <v>0.2</v>
      </c>
      <c r="AH65">
        <v>2</v>
      </c>
      <c r="AI65">
        <v>78397650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5">
      <c r="A66">
        <f>ROW(Source!A80)</f>
        <v>80</v>
      </c>
      <c r="B66">
        <v>78397651</v>
      </c>
      <c r="C66">
        <v>78397648</v>
      </c>
      <c r="D66">
        <v>77430632</v>
      </c>
      <c r="E66">
        <v>1</v>
      </c>
      <c r="F66">
        <v>1</v>
      </c>
      <c r="G66">
        <v>1</v>
      </c>
      <c r="H66">
        <v>2</v>
      </c>
      <c r="I66" t="s">
        <v>57</v>
      </c>
      <c r="J66" t="s">
        <v>649</v>
      </c>
      <c r="K66" t="s">
        <v>58</v>
      </c>
      <c r="L66">
        <v>1368</v>
      </c>
      <c r="N66">
        <v>1011</v>
      </c>
      <c r="O66" t="s">
        <v>59</v>
      </c>
      <c r="P66" t="s">
        <v>59</v>
      </c>
      <c r="Q66">
        <v>1</v>
      </c>
      <c r="X66">
        <v>0.2</v>
      </c>
      <c r="Y66">
        <v>0</v>
      </c>
      <c r="Z66">
        <v>37.32</v>
      </c>
      <c r="AA66">
        <v>641.22</v>
      </c>
      <c r="AB66">
        <v>0</v>
      </c>
      <c r="AC66">
        <v>0</v>
      </c>
      <c r="AD66">
        <v>1</v>
      </c>
      <c r="AE66">
        <v>0</v>
      </c>
      <c r="AF66" t="s">
        <v>332</v>
      </c>
      <c r="AG66">
        <v>0.2</v>
      </c>
      <c r="AH66">
        <v>2</v>
      </c>
      <c r="AI66">
        <v>78397651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5">
      <c r="A67">
        <f>ROW(Source!A81)</f>
        <v>81</v>
      </c>
      <c r="B67">
        <v>78397653</v>
      </c>
      <c r="C67">
        <v>78397652</v>
      </c>
      <c r="D67">
        <v>77423772</v>
      </c>
      <c r="E67">
        <v>117</v>
      </c>
      <c r="F67">
        <v>1</v>
      </c>
      <c r="G67">
        <v>1</v>
      </c>
      <c r="H67">
        <v>1</v>
      </c>
      <c r="I67" t="s">
        <v>53</v>
      </c>
      <c r="J67" t="s">
        <v>332</v>
      </c>
      <c r="K67" t="s">
        <v>54</v>
      </c>
      <c r="L67">
        <v>1191</v>
      </c>
      <c r="N67">
        <v>1013</v>
      </c>
      <c r="O67" t="s">
        <v>31</v>
      </c>
      <c r="P67" t="s">
        <v>31</v>
      </c>
      <c r="Q67">
        <v>1</v>
      </c>
      <c r="X67">
        <v>97</v>
      </c>
      <c r="Y67">
        <v>0</v>
      </c>
      <c r="Z67">
        <v>0</v>
      </c>
      <c r="AA67">
        <v>0</v>
      </c>
      <c r="AB67">
        <v>681.63</v>
      </c>
      <c r="AC67">
        <v>0</v>
      </c>
      <c r="AD67">
        <v>1</v>
      </c>
      <c r="AE67">
        <v>1</v>
      </c>
      <c r="AF67" t="s">
        <v>402</v>
      </c>
      <c r="AG67">
        <v>111.55</v>
      </c>
      <c r="AH67">
        <v>2</v>
      </c>
      <c r="AI67">
        <v>78397653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5">
      <c r="A68">
        <f>ROW(Source!A81)</f>
        <v>81</v>
      </c>
      <c r="B68">
        <v>78397654</v>
      </c>
      <c r="C68">
        <v>78397652</v>
      </c>
      <c r="D68">
        <v>77423956</v>
      </c>
      <c r="E68">
        <v>117</v>
      </c>
      <c r="F68">
        <v>1</v>
      </c>
      <c r="G68">
        <v>1</v>
      </c>
      <c r="H68">
        <v>1</v>
      </c>
      <c r="I68" t="s">
        <v>647</v>
      </c>
      <c r="J68" t="s">
        <v>332</v>
      </c>
      <c r="K68" t="s">
        <v>648</v>
      </c>
      <c r="L68">
        <v>1191</v>
      </c>
      <c r="N68">
        <v>1013</v>
      </c>
      <c r="O68" t="s">
        <v>31</v>
      </c>
      <c r="P68" t="s">
        <v>31</v>
      </c>
      <c r="Q68">
        <v>1</v>
      </c>
      <c r="X68">
        <v>0.38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401</v>
      </c>
      <c r="AG68">
        <v>0.47499999999999998</v>
      </c>
      <c r="AH68">
        <v>2</v>
      </c>
      <c r="AI68">
        <v>78397654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5">
      <c r="A69">
        <f>ROW(Source!A81)</f>
        <v>81</v>
      </c>
      <c r="B69">
        <v>78397655</v>
      </c>
      <c r="C69">
        <v>78397652</v>
      </c>
      <c r="D69">
        <v>77430445</v>
      </c>
      <c r="E69">
        <v>1</v>
      </c>
      <c r="F69">
        <v>1</v>
      </c>
      <c r="G69">
        <v>1</v>
      </c>
      <c r="H69">
        <v>2</v>
      </c>
      <c r="I69" t="s">
        <v>208</v>
      </c>
      <c r="J69" t="s">
        <v>672</v>
      </c>
      <c r="K69" t="s">
        <v>209</v>
      </c>
      <c r="L69">
        <v>1368</v>
      </c>
      <c r="N69">
        <v>1011</v>
      </c>
      <c r="O69" t="s">
        <v>59</v>
      </c>
      <c r="P69" t="s">
        <v>59</v>
      </c>
      <c r="Q69">
        <v>1</v>
      </c>
      <c r="X69">
        <v>0.19</v>
      </c>
      <c r="Y69">
        <v>0</v>
      </c>
      <c r="Z69">
        <v>1629.55</v>
      </c>
      <c r="AA69">
        <v>969.91</v>
      </c>
      <c r="AB69">
        <v>0</v>
      </c>
      <c r="AC69">
        <v>0</v>
      </c>
      <c r="AD69">
        <v>1</v>
      </c>
      <c r="AE69">
        <v>0</v>
      </c>
      <c r="AF69" t="s">
        <v>401</v>
      </c>
      <c r="AG69">
        <v>0.23749999999999999</v>
      </c>
      <c r="AH69">
        <v>2</v>
      </c>
      <c r="AI69">
        <v>78397655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5">
      <c r="A70">
        <f>ROW(Source!A81)</f>
        <v>81</v>
      </c>
      <c r="B70">
        <v>78397656</v>
      </c>
      <c r="C70">
        <v>78397652</v>
      </c>
      <c r="D70">
        <v>77431339</v>
      </c>
      <c r="E70">
        <v>1</v>
      </c>
      <c r="F70">
        <v>1</v>
      </c>
      <c r="G70">
        <v>1</v>
      </c>
      <c r="H70">
        <v>2</v>
      </c>
      <c r="I70" t="s">
        <v>62</v>
      </c>
      <c r="J70" t="s">
        <v>650</v>
      </c>
      <c r="K70" t="s">
        <v>63</v>
      </c>
      <c r="L70">
        <v>1368</v>
      </c>
      <c r="N70">
        <v>1011</v>
      </c>
      <c r="O70" t="s">
        <v>59</v>
      </c>
      <c r="P70" t="s">
        <v>59</v>
      </c>
      <c r="Q70">
        <v>1</v>
      </c>
      <c r="X70">
        <v>0.19</v>
      </c>
      <c r="Y70">
        <v>0</v>
      </c>
      <c r="Z70">
        <v>643.29</v>
      </c>
      <c r="AA70">
        <v>722.05</v>
      </c>
      <c r="AB70">
        <v>0</v>
      </c>
      <c r="AC70">
        <v>0</v>
      </c>
      <c r="AD70">
        <v>1</v>
      </c>
      <c r="AE70">
        <v>0</v>
      </c>
      <c r="AF70" t="s">
        <v>401</v>
      </c>
      <c r="AG70">
        <v>0.23749999999999999</v>
      </c>
      <c r="AH70">
        <v>2</v>
      </c>
      <c r="AI70">
        <v>78397656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5">
      <c r="A71">
        <f>ROW(Source!A81)</f>
        <v>81</v>
      </c>
      <c r="B71">
        <v>78397657</v>
      </c>
      <c r="C71">
        <v>78397652</v>
      </c>
      <c r="D71">
        <v>77431957</v>
      </c>
      <c r="E71">
        <v>1</v>
      </c>
      <c r="F71">
        <v>1</v>
      </c>
      <c r="G71">
        <v>1</v>
      </c>
      <c r="H71">
        <v>2</v>
      </c>
      <c r="I71" t="s">
        <v>212</v>
      </c>
      <c r="J71" t="s">
        <v>673</v>
      </c>
      <c r="K71" t="s">
        <v>213</v>
      </c>
      <c r="L71">
        <v>1368</v>
      </c>
      <c r="N71">
        <v>1011</v>
      </c>
      <c r="O71" t="s">
        <v>59</v>
      </c>
      <c r="P71" t="s">
        <v>59</v>
      </c>
      <c r="Q71">
        <v>1</v>
      </c>
      <c r="X71">
        <v>0.32</v>
      </c>
      <c r="Y71">
        <v>0</v>
      </c>
      <c r="Z71">
        <v>2.36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401</v>
      </c>
      <c r="AG71">
        <v>0.4</v>
      </c>
      <c r="AH71">
        <v>2</v>
      </c>
      <c r="AI71">
        <v>78397657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5">
      <c r="A72">
        <f>ROW(Source!A81)</f>
        <v>81</v>
      </c>
      <c r="B72">
        <v>78397658</v>
      </c>
      <c r="C72">
        <v>78397652</v>
      </c>
      <c r="D72">
        <v>77424195</v>
      </c>
      <c r="E72">
        <v>117</v>
      </c>
      <c r="F72">
        <v>1</v>
      </c>
      <c r="G72">
        <v>1</v>
      </c>
      <c r="H72">
        <v>3</v>
      </c>
      <c r="I72" t="s">
        <v>710</v>
      </c>
      <c r="J72" t="s">
        <v>332</v>
      </c>
      <c r="K72" t="s">
        <v>711</v>
      </c>
      <c r="L72">
        <v>1327</v>
      </c>
      <c r="N72">
        <v>1005</v>
      </c>
      <c r="O72" t="s">
        <v>269</v>
      </c>
      <c r="P72" t="s">
        <v>269</v>
      </c>
      <c r="Q72">
        <v>1</v>
      </c>
      <c r="X72">
        <v>111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332</v>
      </c>
      <c r="AG72">
        <v>111</v>
      </c>
      <c r="AH72">
        <v>3</v>
      </c>
      <c r="AI72">
        <v>-1</v>
      </c>
      <c r="AJ72" t="s">
        <v>332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5">
      <c r="A73">
        <f>ROW(Source!A81)</f>
        <v>81</v>
      </c>
      <c r="B73">
        <v>78397659</v>
      </c>
      <c r="C73">
        <v>78397652</v>
      </c>
      <c r="D73">
        <v>77498097</v>
      </c>
      <c r="E73">
        <v>1</v>
      </c>
      <c r="F73">
        <v>1</v>
      </c>
      <c r="G73">
        <v>1</v>
      </c>
      <c r="H73">
        <v>3</v>
      </c>
      <c r="I73" t="s">
        <v>214</v>
      </c>
      <c r="J73" t="s">
        <v>674</v>
      </c>
      <c r="K73" t="s">
        <v>215</v>
      </c>
      <c r="L73">
        <v>1339</v>
      </c>
      <c r="N73">
        <v>1007</v>
      </c>
      <c r="O73" t="s">
        <v>104</v>
      </c>
      <c r="P73" t="s">
        <v>104</v>
      </c>
      <c r="Q73">
        <v>1</v>
      </c>
      <c r="X73">
        <v>3.5999999999999997E-2</v>
      </c>
      <c r="Y73">
        <v>35.71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332</v>
      </c>
      <c r="AG73">
        <v>3.5999999999999997E-2</v>
      </c>
      <c r="AH73">
        <v>2</v>
      </c>
      <c r="AI73">
        <v>78397659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5">
      <c r="A74">
        <f>ROW(Source!A81)</f>
        <v>81</v>
      </c>
      <c r="B74">
        <v>78397660</v>
      </c>
      <c r="C74">
        <v>78397652</v>
      </c>
      <c r="D74">
        <v>77498109</v>
      </c>
      <c r="E74">
        <v>1</v>
      </c>
      <c r="F74">
        <v>1</v>
      </c>
      <c r="G74">
        <v>1</v>
      </c>
      <c r="H74">
        <v>3</v>
      </c>
      <c r="I74" t="s">
        <v>216</v>
      </c>
      <c r="J74" t="s">
        <v>675</v>
      </c>
      <c r="K74" t="s">
        <v>217</v>
      </c>
      <c r="L74">
        <v>1383</v>
      </c>
      <c r="N74">
        <v>1013</v>
      </c>
      <c r="O74" t="s">
        <v>218</v>
      </c>
      <c r="P74" t="s">
        <v>218</v>
      </c>
      <c r="Q74">
        <v>1</v>
      </c>
      <c r="X74">
        <v>2.2320000000000002</v>
      </c>
      <c r="Y74">
        <v>6.78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332</v>
      </c>
      <c r="AG74">
        <v>2.2320000000000002</v>
      </c>
      <c r="AH74">
        <v>2</v>
      </c>
      <c r="AI74">
        <v>78397660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5">
      <c r="A75">
        <f>ROW(Source!A81)</f>
        <v>81</v>
      </c>
      <c r="B75">
        <v>78397661</v>
      </c>
      <c r="C75">
        <v>78397652</v>
      </c>
      <c r="D75">
        <v>77498236</v>
      </c>
      <c r="E75">
        <v>1</v>
      </c>
      <c r="F75">
        <v>1</v>
      </c>
      <c r="G75">
        <v>1</v>
      </c>
      <c r="H75">
        <v>3</v>
      </c>
      <c r="I75" t="s">
        <v>219</v>
      </c>
      <c r="J75" t="s">
        <v>676</v>
      </c>
      <c r="K75" t="s">
        <v>220</v>
      </c>
      <c r="L75">
        <v>1301</v>
      </c>
      <c r="N75">
        <v>1003</v>
      </c>
      <c r="O75" t="s">
        <v>69</v>
      </c>
      <c r="P75" t="s">
        <v>69</v>
      </c>
      <c r="Q75">
        <v>1</v>
      </c>
      <c r="X75">
        <v>135</v>
      </c>
      <c r="Y75">
        <v>3.62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332</v>
      </c>
      <c r="AG75">
        <v>135</v>
      </c>
      <c r="AH75">
        <v>2</v>
      </c>
      <c r="AI75">
        <v>78397661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5">
      <c r="A76">
        <f>ROW(Source!A81)</f>
        <v>81</v>
      </c>
      <c r="B76">
        <v>78397662</v>
      </c>
      <c r="C76">
        <v>78397652</v>
      </c>
      <c r="D76">
        <v>77498263</v>
      </c>
      <c r="E76">
        <v>1</v>
      </c>
      <c r="F76">
        <v>1</v>
      </c>
      <c r="G76">
        <v>1</v>
      </c>
      <c r="H76">
        <v>3</v>
      </c>
      <c r="I76" t="s">
        <v>221</v>
      </c>
      <c r="J76" t="s">
        <v>677</v>
      </c>
      <c r="K76" t="s">
        <v>222</v>
      </c>
      <c r="L76">
        <v>1301</v>
      </c>
      <c r="N76">
        <v>1003</v>
      </c>
      <c r="O76" t="s">
        <v>69</v>
      </c>
      <c r="P76" t="s">
        <v>69</v>
      </c>
      <c r="Q76">
        <v>1</v>
      </c>
      <c r="X76">
        <v>68</v>
      </c>
      <c r="Y76">
        <v>2.6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332</v>
      </c>
      <c r="AG76">
        <v>68</v>
      </c>
      <c r="AH76">
        <v>2</v>
      </c>
      <c r="AI76">
        <v>78397662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5">
      <c r="A77">
        <f>ROW(Source!A81)</f>
        <v>81</v>
      </c>
      <c r="B77">
        <v>78397663</v>
      </c>
      <c r="C77">
        <v>78397652</v>
      </c>
      <c r="D77">
        <v>77498266</v>
      </c>
      <c r="E77">
        <v>1</v>
      </c>
      <c r="F77">
        <v>1</v>
      </c>
      <c r="G77">
        <v>1</v>
      </c>
      <c r="H77">
        <v>3</v>
      </c>
      <c r="I77" t="s">
        <v>223</v>
      </c>
      <c r="J77" t="s">
        <v>678</v>
      </c>
      <c r="K77" t="s">
        <v>224</v>
      </c>
      <c r="L77">
        <v>1308</v>
      </c>
      <c r="N77">
        <v>1003</v>
      </c>
      <c r="O77" t="s">
        <v>225</v>
      </c>
      <c r="P77" t="s">
        <v>225</v>
      </c>
      <c r="Q77">
        <v>100</v>
      </c>
      <c r="X77">
        <v>1.35</v>
      </c>
      <c r="Y77">
        <v>1955.23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332</v>
      </c>
      <c r="AG77">
        <v>1.35</v>
      </c>
      <c r="AH77">
        <v>2</v>
      </c>
      <c r="AI77">
        <v>78397663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5">
      <c r="A78">
        <f>ROW(Source!A81)</f>
        <v>81</v>
      </c>
      <c r="B78">
        <v>78397664</v>
      </c>
      <c r="C78">
        <v>78397652</v>
      </c>
      <c r="D78">
        <v>77499682</v>
      </c>
      <c r="E78">
        <v>1</v>
      </c>
      <c r="F78">
        <v>1</v>
      </c>
      <c r="G78">
        <v>1</v>
      </c>
      <c r="H78">
        <v>3</v>
      </c>
      <c r="I78" t="s">
        <v>226</v>
      </c>
      <c r="J78" t="s">
        <v>679</v>
      </c>
      <c r="K78" t="s">
        <v>227</v>
      </c>
      <c r="L78">
        <v>1425</v>
      </c>
      <c r="N78">
        <v>1013</v>
      </c>
      <c r="O78" t="s">
        <v>228</v>
      </c>
      <c r="P78" t="s">
        <v>228</v>
      </c>
      <c r="Q78">
        <v>1</v>
      </c>
      <c r="X78">
        <v>0.81</v>
      </c>
      <c r="Y78">
        <v>178.64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332</v>
      </c>
      <c r="AG78">
        <v>0.81</v>
      </c>
      <c r="AH78">
        <v>2</v>
      </c>
      <c r="AI78">
        <v>78397664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5">
      <c r="A79">
        <f>ROW(Source!A81)</f>
        <v>81</v>
      </c>
      <c r="B79">
        <v>78397665</v>
      </c>
      <c r="C79">
        <v>78397652</v>
      </c>
      <c r="D79">
        <v>77499707</v>
      </c>
      <c r="E79">
        <v>1</v>
      </c>
      <c r="F79">
        <v>1</v>
      </c>
      <c r="G79">
        <v>1</v>
      </c>
      <c r="H79">
        <v>3</v>
      </c>
      <c r="I79" t="s">
        <v>229</v>
      </c>
      <c r="J79" t="s">
        <v>680</v>
      </c>
      <c r="K79" t="s">
        <v>230</v>
      </c>
      <c r="L79">
        <v>1425</v>
      </c>
      <c r="N79">
        <v>1013</v>
      </c>
      <c r="O79" t="s">
        <v>228</v>
      </c>
      <c r="P79" t="s">
        <v>228</v>
      </c>
      <c r="Q79">
        <v>1</v>
      </c>
      <c r="X79">
        <v>3.22</v>
      </c>
      <c r="Y79">
        <v>52.34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332</v>
      </c>
      <c r="AG79">
        <v>3.22</v>
      </c>
      <c r="AH79">
        <v>2</v>
      </c>
      <c r="AI79">
        <v>78397665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5">
      <c r="A80">
        <f>ROW(Source!A81)</f>
        <v>81</v>
      </c>
      <c r="B80">
        <v>78397666</v>
      </c>
      <c r="C80">
        <v>78397652</v>
      </c>
      <c r="D80">
        <v>77499920</v>
      </c>
      <c r="E80">
        <v>1</v>
      </c>
      <c r="F80">
        <v>1</v>
      </c>
      <c r="G80">
        <v>1</v>
      </c>
      <c r="H80">
        <v>3</v>
      </c>
      <c r="I80" t="s">
        <v>231</v>
      </c>
      <c r="J80" t="s">
        <v>681</v>
      </c>
      <c r="K80" t="s">
        <v>232</v>
      </c>
      <c r="L80">
        <v>1425</v>
      </c>
      <c r="N80">
        <v>1013</v>
      </c>
      <c r="O80" t="s">
        <v>228</v>
      </c>
      <c r="P80" t="s">
        <v>228</v>
      </c>
      <c r="Q80">
        <v>1</v>
      </c>
      <c r="X80">
        <v>3.68</v>
      </c>
      <c r="Y80">
        <v>22.93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332</v>
      </c>
      <c r="AG80">
        <v>3.68</v>
      </c>
      <c r="AH80">
        <v>2</v>
      </c>
      <c r="AI80">
        <v>78397666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5">
      <c r="A81">
        <f>ROW(Source!A81)</f>
        <v>81</v>
      </c>
      <c r="B81">
        <v>78397667</v>
      </c>
      <c r="C81">
        <v>78397652</v>
      </c>
      <c r="D81">
        <v>77499922</v>
      </c>
      <c r="E81">
        <v>1</v>
      </c>
      <c r="F81">
        <v>1</v>
      </c>
      <c r="G81">
        <v>1</v>
      </c>
      <c r="H81">
        <v>3</v>
      </c>
      <c r="I81" t="s">
        <v>233</v>
      </c>
      <c r="J81" t="s">
        <v>682</v>
      </c>
      <c r="K81" t="s">
        <v>234</v>
      </c>
      <c r="L81">
        <v>1425</v>
      </c>
      <c r="N81">
        <v>1013</v>
      </c>
      <c r="O81" t="s">
        <v>228</v>
      </c>
      <c r="P81" t="s">
        <v>228</v>
      </c>
      <c r="Q81">
        <v>1</v>
      </c>
      <c r="X81">
        <v>22.21</v>
      </c>
      <c r="Y81">
        <v>22.84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332</v>
      </c>
      <c r="AG81">
        <v>22.21</v>
      </c>
      <c r="AH81">
        <v>2</v>
      </c>
      <c r="AI81">
        <v>78397667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5">
      <c r="A82">
        <f>ROW(Source!A81)</f>
        <v>81</v>
      </c>
      <c r="B82">
        <v>78397668</v>
      </c>
      <c r="C82">
        <v>78397652</v>
      </c>
      <c r="D82">
        <v>77504512</v>
      </c>
      <c r="E82">
        <v>1</v>
      </c>
      <c r="F82">
        <v>1</v>
      </c>
      <c r="G82">
        <v>1</v>
      </c>
      <c r="H82">
        <v>3</v>
      </c>
      <c r="I82" t="s">
        <v>235</v>
      </c>
      <c r="J82" t="s">
        <v>683</v>
      </c>
      <c r="K82" t="s">
        <v>236</v>
      </c>
      <c r="L82">
        <v>1301</v>
      </c>
      <c r="N82">
        <v>1003</v>
      </c>
      <c r="O82" t="s">
        <v>69</v>
      </c>
      <c r="P82" t="s">
        <v>69</v>
      </c>
      <c r="Q82">
        <v>1</v>
      </c>
      <c r="X82">
        <v>136</v>
      </c>
      <c r="Y82">
        <v>44.16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332</v>
      </c>
      <c r="AG82">
        <v>136</v>
      </c>
      <c r="AH82">
        <v>2</v>
      </c>
      <c r="AI82">
        <v>78397668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5">
      <c r="A83">
        <f>ROW(Source!A81)</f>
        <v>81</v>
      </c>
      <c r="B83">
        <v>78397669</v>
      </c>
      <c r="C83">
        <v>78397652</v>
      </c>
      <c r="D83">
        <v>77504515</v>
      </c>
      <c r="E83">
        <v>1</v>
      </c>
      <c r="F83">
        <v>1</v>
      </c>
      <c r="G83">
        <v>1</v>
      </c>
      <c r="H83">
        <v>3</v>
      </c>
      <c r="I83" t="s">
        <v>237</v>
      </c>
      <c r="J83" t="s">
        <v>684</v>
      </c>
      <c r="K83" t="s">
        <v>238</v>
      </c>
      <c r="L83">
        <v>1301</v>
      </c>
      <c r="N83">
        <v>1003</v>
      </c>
      <c r="O83" t="s">
        <v>69</v>
      </c>
      <c r="P83" t="s">
        <v>69</v>
      </c>
      <c r="Q83">
        <v>1</v>
      </c>
      <c r="X83">
        <v>306</v>
      </c>
      <c r="Y83">
        <v>64.44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332</v>
      </c>
      <c r="AG83">
        <v>306</v>
      </c>
      <c r="AH83">
        <v>2</v>
      </c>
      <c r="AI83">
        <v>78397669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5">
      <c r="A84">
        <f>ROW(Source!A81)</f>
        <v>81</v>
      </c>
      <c r="B84">
        <v>78397670</v>
      </c>
      <c r="C84">
        <v>78397652</v>
      </c>
      <c r="D84">
        <v>77426093</v>
      </c>
      <c r="E84">
        <v>117</v>
      </c>
      <c r="F84">
        <v>1</v>
      </c>
      <c r="G84">
        <v>1</v>
      </c>
      <c r="H84">
        <v>3</v>
      </c>
      <c r="I84" t="s">
        <v>712</v>
      </c>
      <c r="J84" t="s">
        <v>332</v>
      </c>
      <c r="K84" t="s">
        <v>713</v>
      </c>
      <c r="L84">
        <v>1371</v>
      </c>
      <c r="N84">
        <v>1013</v>
      </c>
      <c r="O84" t="s">
        <v>366</v>
      </c>
      <c r="P84" t="s">
        <v>366</v>
      </c>
      <c r="Q84">
        <v>1</v>
      </c>
      <c r="X84">
        <v>81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332</v>
      </c>
      <c r="AG84">
        <v>81</v>
      </c>
      <c r="AH84">
        <v>3</v>
      </c>
      <c r="AI84">
        <v>-1</v>
      </c>
      <c r="AJ84" t="s">
        <v>332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5">
      <c r="A85">
        <f>ROW(Source!A81)</f>
        <v>81</v>
      </c>
      <c r="B85">
        <v>78397671</v>
      </c>
      <c r="C85">
        <v>78397652</v>
      </c>
      <c r="D85">
        <v>77504650</v>
      </c>
      <c r="E85">
        <v>1</v>
      </c>
      <c r="F85">
        <v>1</v>
      </c>
      <c r="G85">
        <v>1</v>
      </c>
      <c r="H85">
        <v>3</v>
      </c>
      <c r="I85" t="s">
        <v>239</v>
      </c>
      <c r="J85" t="s">
        <v>685</v>
      </c>
      <c r="K85" t="s">
        <v>240</v>
      </c>
      <c r="L85">
        <v>1425</v>
      </c>
      <c r="N85">
        <v>1013</v>
      </c>
      <c r="O85" t="s">
        <v>228</v>
      </c>
      <c r="P85" t="s">
        <v>228</v>
      </c>
      <c r="Q85">
        <v>1</v>
      </c>
      <c r="X85">
        <v>0.81</v>
      </c>
      <c r="Y85">
        <v>2384.14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332</v>
      </c>
      <c r="AG85">
        <v>0.81</v>
      </c>
      <c r="AH85">
        <v>2</v>
      </c>
      <c r="AI85">
        <v>78397671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5">
      <c r="A86">
        <f>ROW(Source!A81)</f>
        <v>81</v>
      </c>
      <c r="B86">
        <v>78397672</v>
      </c>
      <c r="C86">
        <v>78397652</v>
      </c>
      <c r="D86">
        <v>77504698</v>
      </c>
      <c r="E86">
        <v>1</v>
      </c>
      <c r="F86">
        <v>1</v>
      </c>
      <c r="G86">
        <v>1</v>
      </c>
      <c r="H86">
        <v>3</v>
      </c>
      <c r="I86" t="s">
        <v>241</v>
      </c>
      <c r="J86" t="s">
        <v>686</v>
      </c>
      <c r="K86" t="s">
        <v>242</v>
      </c>
      <c r="L86">
        <v>1425</v>
      </c>
      <c r="N86">
        <v>1013</v>
      </c>
      <c r="O86" t="s">
        <v>228</v>
      </c>
      <c r="P86" t="s">
        <v>228</v>
      </c>
      <c r="Q86">
        <v>1</v>
      </c>
      <c r="X86">
        <v>0.81</v>
      </c>
      <c r="Y86">
        <v>1701.99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332</v>
      </c>
      <c r="AG86">
        <v>0.81</v>
      </c>
      <c r="AH86">
        <v>2</v>
      </c>
      <c r="AI86">
        <v>78397672</v>
      </c>
      <c r="AJ86">
        <v>85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5">
      <c r="A87">
        <f>ROW(Source!A81)</f>
        <v>81</v>
      </c>
      <c r="B87">
        <v>78397673</v>
      </c>
      <c r="C87">
        <v>78397652</v>
      </c>
      <c r="D87">
        <v>77504700</v>
      </c>
      <c r="E87">
        <v>1</v>
      </c>
      <c r="F87">
        <v>1</v>
      </c>
      <c r="G87">
        <v>1</v>
      </c>
      <c r="H87">
        <v>3</v>
      </c>
      <c r="I87" t="s">
        <v>243</v>
      </c>
      <c r="J87" t="s">
        <v>687</v>
      </c>
      <c r="K87" t="s">
        <v>244</v>
      </c>
      <c r="L87">
        <v>1425</v>
      </c>
      <c r="N87">
        <v>1013</v>
      </c>
      <c r="O87" t="s">
        <v>228</v>
      </c>
      <c r="P87" t="s">
        <v>228</v>
      </c>
      <c r="Q87">
        <v>1</v>
      </c>
      <c r="X87">
        <v>1.83</v>
      </c>
      <c r="Y87">
        <v>2013.47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332</v>
      </c>
      <c r="AG87">
        <v>1.83</v>
      </c>
      <c r="AH87">
        <v>2</v>
      </c>
      <c r="AI87">
        <v>78397673</v>
      </c>
      <c r="AJ87">
        <v>86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5">
      <c r="A88">
        <f>ROW(Source!A81)</f>
        <v>81</v>
      </c>
      <c r="B88">
        <v>78397674</v>
      </c>
      <c r="C88">
        <v>78397652</v>
      </c>
      <c r="D88">
        <v>77516684</v>
      </c>
      <c r="E88">
        <v>1</v>
      </c>
      <c r="F88">
        <v>1</v>
      </c>
      <c r="G88">
        <v>1</v>
      </c>
      <c r="H88">
        <v>3</v>
      </c>
      <c r="I88" t="s">
        <v>245</v>
      </c>
      <c r="J88" t="s">
        <v>688</v>
      </c>
      <c r="K88" t="s">
        <v>246</v>
      </c>
      <c r="L88">
        <v>1346</v>
      </c>
      <c r="N88">
        <v>1009</v>
      </c>
      <c r="O88" t="s">
        <v>111</v>
      </c>
      <c r="P88" t="s">
        <v>111</v>
      </c>
      <c r="Q88">
        <v>1</v>
      </c>
      <c r="X88">
        <v>10</v>
      </c>
      <c r="Y88">
        <v>68.290000000000006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332</v>
      </c>
      <c r="AG88">
        <v>10</v>
      </c>
      <c r="AH88">
        <v>2</v>
      </c>
      <c r="AI88">
        <v>78397674</v>
      </c>
      <c r="AJ88">
        <v>87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5">
      <c r="A89">
        <f>ROW(Source!A81)</f>
        <v>81</v>
      </c>
      <c r="B89">
        <v>78397675</v>
      </c>
      <c r="C89">
        <v>78397652</v>
      </c>
      <c r="D89">
        <v>77517227</v>
      </c>
      <c r="E89">
        <v>1</v>
      </c>
      <c r="F89">
        <v>1</v>
      </c>
      <c r="G89">
        <v>1</v>
      </c>
      <c r="H89">
        <v>3</v>
      </c>
      <c r="I89" t="s">
        <v>247</v>
      </c>
      <c r="J89" t="s">
        <v>689</v>
      </c>
      <c r="K89" t="s">
        <v>248</v>
      </c>
      <c r="L89">
        <v>1346</v>
      </c>
      <c r="N89">
        <v>1009</v>
      </c>
      <c r="O89" t="s">
        <v>111</v>
      </c>
      <c r="P89" t="s">
        <v>111</v>
      </c>
      <c r="Q89">
        <v>1</v>
      </c>
      <c r="X89">
        <v>4</v>
      </c>
      <c r="Y89">
        <v>66.77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332</v>
      </c>
      <c r="AG89">
        <v>4</v>
      </c>
      <c r="AH89">
        <v>2</v>
      </c>
      <c r="AI89">
        <v>78397675</v>
      </c>
      <c r="AJ89">
        <v>88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5">
      <c r="A90">
        <f>ROW(Source!A81)</f>
        <v>81</v>
      </c>
      <c r="B90">
        <v>78397676</v>
      </c>
      <c r="C90">
        <v>78397652</v>
      </c>
      <c r="D90">
        <v>77517230</v>
      </c>
      <c r="E90">
        <v>1</v>
      </c>
      <c r="F90">
        <v>1</v>
      </c>
      <c r="G90">
        <v>1</v>
      </c>
      <c r="H90">
        <v>3</v>
      </c>
      <c r="I90" t="s">
        <v>249</v>
      </c>
      <c r="J90" t="s">
        <v>690</v>
      </c>
      <c r="K90" t="s">
        <v>250</v>
      </c>
      <c r="L90">
        <v>1346</v>
      </c>
      <c r="N90">
        <v>1009</v>
      </c>
      <c r="O90" t="s">
        <v>111</v>
      </c>
      <c r="P90" t="s">
        <v>111</v>
      </c>
      <c r="Q90">
        <v>1</v>
      </c>
      <c r="X90">
        <v>42</v>
      </c>
      <c r="Y90">
        <v>19.809999999999999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332</v>
      </c>
      <c r="AG90">
        <v>42</v>
      </c>
      <c r="AH90">
        <v>2</v>
      </c>
      <c r="AI90">
        <v>78397676</v>
      </c>
      <c r="AJ90">
        <v>89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5">
      <c r="A91">
        <f>ROW(Source!A84)</f>
        <v>84</v>
      </c>
      <c r="B91">
        <v>78397684</v>
      </c>
      <c r="C91">
        <v>78397683</v>
      </c>
      <c r="D91">
        <v>77423772</v>
      </c>
      <c r="E91">
        <v>117</v>
      </c>
      <c r="F91">
        <v>1</v>
      </c>
      <c r="G91">
        <v>1</v>
      </c>
      <c r="H91">
        <v>1</v>
      </c>
      <c r="I91" t="s">
        <v>53</v>
      </c>
      <c r="J91" t="s">
        <v>332</v>
      </c>
      <c r="K91" t="s">
        <v>54</v>
      </c>
      <c r="L91">
        <v>1191</v>
      </c>
      <c r="N91">
        <v>1013</v>
      </c>
      <c r="O91" t="s">
        <v>31</v>
      </c>
      <c r="P91" t="s">
        <v>31</v>
      </c>
      <c r="Q91">
        <v>1</v>
      </c>
      <c r="X91">
        <v>29.8</v>
      </c>
      <c r="Y91">
        <v>0</v>
      </c>
      <c r="Z91">
        <v>0</v>
      </c>
      <c r="AA91">
        <v>0</v>
      </c>
      <c r="AB91">
        <v>681.63</v>
      </c>
      <c r="AC91">
        <v>0</v>
      </c>
      <c r="AD91">
        <v>1</v>
      </c>
      <c r="AE91">
        <v>1</v>
      </c>
      <c r="AF91" t="s">
        <v>402</v>
      </c>
      <c r="AG91">
        <v>34.270000000000003</v>
      </c>
      <c r="AH91">
        <v>2</v>
      </c>
      <c r="AI91">
        <v>78397684</v>
      </c>
      <c r="AJ91">
        <v>90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5">
      <c r="A92">
        <f>ROW(Source!A84)</f>
        <v>84</v>
      </c>
      <c r="B92">
        <v>78397685</v>
      </c>
      <c r="C92">
        <v>78397683</v>
      </c>
      <c r="D92">
        <v>77423956</v>
      </c>
      <c r="E92">
        <v>117</v>
      </c>
      <c r="F92">
        <v>1</v>
      </c>
      <c r="G92">
        <v>1</v>
      </c>
      <c r="H92">
        <v>1</v>
      </c>
      <c r="I92" t="s">
        <v>647</v>
      </c>
      <c r="J92" t="s">
        <v>332</v>
      </c>
      <c r="K92" t="s">
        <v>648</v>
      </c>
      <c r="L92">
        <v>1191</v>
      </c>
      <c r="N92">
        <v>1013</v>
      </c>
      <c r="O92" t="s">
        <v>31</v>
      </c>
      <c r="P92" t="s">
        <v>31</v>
      </c>
      <c r="Q92">
        <v>1</v>
      </c>
      <c r="X92">
        <v>0.11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2</v>
      </c>
      <c r="AF92" t="s">
        <v>401</v>
      </c>
      <c r="AG92">
        <v>0.13750000000000001</v>
      </c>
      <c r="AH92">
        <v>2</v>
      </c>
      <c r="AI92">
        <v>78397685</v>
      </c>
      <c r="AJ92">
        <v>91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5">
      <c r="A93">
        <f>ROW(Source!A84)</f>
        <v>84</v>
      </c>
      <c r="B93">
        <v>78397686</v>
      </c>
      <c r="C93">
        <v>78397683</v>
      </c>
      <c r="D93">
        <v>77430632</v>
      </c>
      <c r="E93">
        <v>1</v>
      </c>
      <c r="F93">
        <v>1</v>
      </c>
      <c r="G93">
        <v>1</v>
      </c>
      <c r="H93">
        <v>2</v>
      </c>
      <c r="I93" t="s">
        <v>57</v>
      </c>
      <c r="J93" t="s">
        <v>649</v>
      </c>
      <c r="K93" t="s">
        <v>58</v>
      </c>
      <c r="L93">
        <v>1368</v>
      </c>
      <c r="N93">
        <v>1011</v>
      </c>
      <c r="O93" t="s">
        <v>59</v>
      </c>
      <c r="P93" t="s">
        <v>59</v>
      </c>
      <c r="Q93">
        <v>1</v>
      </c>
      <c r="X93">
        <v>0.11</v>
      </c>
      <c r="Y93">
        <v>0</v>
      </c>
      <c r="Z93">
        <v>37.32</v>
      </c>
      <c r="AA93">
        <v>641.22</v>
      </c>
      <c r="AB93">
        <v>0</v>
      </c>
      <c r="AC93">
        <v>0</v>
      </c>
      <c r="AD93">
        <v>1</v>
      </c>
      <c r="AE93">
        <v>0</v>
      </c>
      <c r="AF93" t="s">
        <v>401</v>
      </c>
      <c r="AG93">
        <v>0.13750000000000001</v>
      </c>
      <c r="AH93">
        <v>2</v>
      </c>
      <c r="AI93">
        <v>78397686</v>
      </c>
      <c r="AJ93">
        <v>92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5">
      <c r="A94">
        <f>ROW(Source!A84)</f>
        <v>84</v>
      </c>
      <c r="B94">
        <v>78397687</v>
      </c>
      <c r="C94">
        <v>78397683</v>
      </c>
      <c r="D94">
        <v>77498570</v>
      </c>
      <c r="E94">
        <v>1</v>
      </c>
      <c r="F94">
        <v>1</v>
      </c>
      <c r="G94">
        <v>1</v>
      </c>
      <c r="H94">
        <v>3</v>
      </c>
      <c r="I94" t="s">
        <v>259</v>
      </c>
      <c r="J94" t="s">
        <v>691</v>
      </c>
      <c r="K94" t="s">
        <v>260</v>
      </c>
      <c r="L94">
        <v>1346</v>
      </c>
      <c r="N94">
        <v>1009</v>
      </c>
      <c r="O94" t="s">
        <v>111</v>
      </c>
      <c r="P94" t="s">
        <v>111</v>
      </c>
      <c r="Q94">
        <v>1</v>
      </c>
      <c r="X94">
        <v>0.74</v>
      </c>
      <c r="Y94">
        <v>92.95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332</v>
      </c>
      <c r="AG94">
        <v>0.74</v>
      </c>
      <c r="AH94">
        <v>2</v>
      </c>
      <c r="AI94">
        <v>78397687</v>
      </c>
      <c r="AJ94">
        <v>93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5">
      <c r="A95">
        <f>ROW(Source!A84)</f>
        <v>84</v>
      </c>
      <c r="B95">
        <v>78397688</v>
      </c>
      <c r="C95">
        <v>78397683</v>
      </c>
      <c r="D95">
        <v>77502052</v>
      </c>
      <c r="E95">
        <v>1</v>
      </c>
      <c r="F95">
        <v>1</v>
      </c>
      <c r="G95">
        <v>1</v>
      </c>
      <c r="H95">
        <v>3</v>
      </c>
      <c r="I95" t="s">
        <v>261</v>
      </c>
      <c r="J95" t="s">
        <v>692</v>
      </c>
      <c r="K95" t="s">
        <v>262</v>
      </c>
      <c r="L95">
        <v>1339</v>
      </c>
      <c r="N95">
        <v>1007</v>
      </c>
      <c r="O95" t="s">
        <v>104</v>
      </c>
      <c r="P95" t="s">
        <v>104</v>
      </c>
      <c r="Q95">
        <v>1</v>
      </c>
      <c r="X95">
        <v>0.06</v>
      </c>
      <c r="Y95">
        <v>3392.36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332</v>
      </c>
      <c r="AG95">
        <v>0.06</v>
      </c>
      <c r="AH95">
        <v>2</v>
      </c>
      <c r="AI95">
        <v>78397688</v>
      </c>
      <c r="AJ95">
        <v>94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5">
      <c r="A96">
        <f>ROW(Source!A85)</f>
        <v>85</v>
      </c>
      <c r="B96">
        <v>78397690</v>
      </c>
      <c r="C96">
        <v>78397689</v>
      </c>
      <c r="D96">
        <v>77423768</v>
      </c>
      <c r="E96">
        <v>117</v>
      </c>
      <c r="F96">
        <v>1</v>
      </c>
      <c r="G96">
        <v>1</v>
      </c>
      <c r="H96">
        <v>1</v>
      </c>
      <c r="I96" t="s">
        <v>139</v>
      </c>
      <c r="J96" t="s">
        <v>332</v>
      </c>
      <c r="K96" t="s">
        <v>140</v>
      </c>
      <c r="L96">
        <v>1191</v>
      </c>
      <c r="N96">
        <v>1013</v>
      </c>
      <c r="O96" t="s">
        <v>31</v>
      </c>
      <c r="P96" t="s">
        <v>31</v>
      </c>
      <c r="Q96">
        <v>1</v>
      </c>
      <c r="X96">
        <v>39.979999999999997</v>
      </c>
      <c r="Y96">
        <v>0</v>
      </c>
      <c r="Z96">
        <v>0</v>
      </c>
      <c r="AA96">
        <v>0</v>
      </c>
      <c r="AB96">
        <v>665.47</v>
      </c>
      <c r="AC96">
        <v>0</v>
      </c>
      <c r="AD96">
        <v>1</v>
      </c>
      <c r="AE96">
        <v>1</v>
      </c>
      <c r="AF96" t="s">
        <v>402</v>
      </c>
      <c r="AG96">
        <v>45.976999999999997</v>
      </c>
      <c r="AH96">
        <v>2</v>
      </c>
      <c r="AI96">
        <v>78397690</v>
      </c>
      <c r="AJ96">
        <v>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5">
      <c r="A97">
        <f>ROW(Source!A85)</f>
        <v>85</v>
      </c>
      <c r="B97">
        <v>78397691</v>
      </c>
      <c r="C97">
        <v>78397689</v>
      </c>
      <c r="D97">
        <v>77423956</v>
      </c>
      <c r="E97">
        <v>117</v>
      </c>
      <c r="F97">
        <v>1</v>
      </c>
      <c r="G97">
        <v>1</v>
      </c>
      <c r="H97">
        <v>1</v>
      </c>
      <c r="I97" t="s">
        <v>647</v>
      </c>
      <c r="J97" t="s">
        <v>332</v>
      </c>
      <c r="K97" t="s">
        <v>648</v>
      </c>
      <c r="L97">
        <v>1191</v>
      </c>
      <c r="N97">
        <v>1013</v>
      </c>
      <c r="O97" t="s">
        <v>31</v>
      </c>
      <c r="P97" t="s">
        <v>31</v>
      </c>
      <c r="Q97">
        <v>1</v>
      </c>
      <c r="X97">
        <v>0.11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2</v>
      </c>
      <c r="AF97" t="s">
        <v>401</v>
      </c>
      <c r="AG97">
        <v>0.13750000000000001</v>
      </c>
      <c r="AH97">
        <v>2</v>
      </c>
      <c r="AI97">
        <v>78397691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5">
      <c r="A98">
        <f>ROW(Source!A85)</f>
        <v>85</v>
      </c>
      <c r="B98">
        <v>78397692</v>
      </c>
      <c r="C98">
        <v>78397689</v>
      </c>
      <c r="D98">
        <v>77430630</v>
      </c>
      <c r="E98">
        <v>1</v>
      </c>
      <c r="F98">
        <v>1</v>
      </c>
      <c r="G98">
        <v>1</v>
      </c>
      <c r="H98">
        <v>2</v>
      </c>
      <c r="I98" t="s">
        <v>265</v>
      </c>
      <c r="J98" t="s">
        <v>693</v>
      </c>
      <c r="K98" t="s">
        <v>266</v>
      </c>
      <c r="L98">
        <v>1368</v>
      </c>
      <c r="N98">
        <v>1011</v>
      </c>
      <c r="O98" t="s">
        <v>59</v>
      </c>
      <c r="P98" t="s">
        <v>59</v>
      </c>
      <c r="Q98">
        <v>1</v>
      </c>
      <c r="X98">
        <v>0.01</v>
      </c>
      <c r="Y98">
        <v>0</v>
      </c>
      <c r="Z98">
        <v>30.61</v>
      </c>
      <c r="AA98">
        <v>641.22</v>
      </c>
      <c r="AB98">
        <v>0</v>
      </c>
      <c r="AC98">
        <v>0</v>
      </c>
      <c r="AD98">
        <v>1</v>
      </c>
      <c r="AE98">
        <v>0</v>
      </c>
      <c r="AF98" t="s">
        <v>401</v>
      </c>
      <c r="AG98">
        <v>1.2500000000000001E-2</v>
      </c>
      <c r="AH98">
        <v>2</v>
      </c>
      <c r="AI98">
        <v>78397692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5">
      <c r="A99">
        <f>ROW(Source!A85)</f>
        <v>85</v>
      </c>
      <c r="B99">
        <v>78397693</v>
      </c>
      <c r="C99">
        <v>78397689</v>
      </c>
      <c r="D99">
        <v>77431339</v>
      </c>
      <c r="E99">
        <v>1</v>
      </c>
      <c r="F99">
        <v>1</v>
      </c>
      <c r="G99">
        <v>1</v>
      </c>
      <c r="H99">
        <v>2</v>
      </c>
      <c r="I99" t="s">
        <v>62</v>
      </c>
      <c r="J99" t="s">
        <v>650</v>
      </c>
      <c r="K99" t="s">
        <v>63</v>
      </c>
      <c r="L99">
        <v>1368</v>
      </c>
      <c r="N99">
        <v>1011</v>
      </c>
      <c r="O99" t="s">
        <v>59</v>
      </c>
      <c r="P99" t="s">
        <v>59</v>
      </c>
      <c r="Q99">
        <v>1</v>
      </c>
      <c r="X99">
        <v>0.1</v>
      </c>
      <c r="Y99">
        <v>0</v>
      </c>
      <c r="Z99">
        <v>643.29</v>
      </c>
      <c r="AA99">
        <v>722.05</v>
      </c>
      <c r="AB99">
        <v>0</v>
      </c>
      <c r="AC99">
        <v>0</v>
      </c>
      <c r="AD99">
        <v>1</v>
      </c>
      <c r="AE99">
        <v>0</v>
      </c>
      <c r="AF99" t="s">
        <v>401</v>
      </c>
      <c r="AG99">
        <v>0.125</v>
      </c>
      <c r="AH99">
        <v>2</v>
      </c>
      <c r="AI99">
        <v>78397693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5">
      <c r="A100">
        <f>ROW(Source!A85)</f>
        <v>85</v>
      </c>
      <c r="B100">
        <v>78397694</v>
      </c>
      <c r="C100">
        <v>78397689</v>
      </c>
      <c r="D100">
        <v>77500388</v>
      </c>
      <c r="E100">
        <v>1</v>
      </c>
      <c r="F100">
        <v>1</v>
      </c>
      <c r="G100">
        <v>1</v>
      </c>
      <c r="H100">
        <v>3</v>
      </c>
      <c r="I100" t="s">
        <v>267</v>
      </c>
      <c r="J100" t="s">
        <v>694</v>
      </c>
      <c r="K100" t="s">
        <v>268</v>
      </c>
      <c r="L100">
        <v>1327</v>
      </c>
      <c r="N100">
        <v>1005</v>
      </c>
      <c r="O100" t="s">
        <v>269</v>
      </c>
      <c r="P100" t="s">
        <v>269</v>
      </c>
      <c r="Q100">
        <v>1</v>
      </c>
      <c r="X100">
        <v>0.84</v>
      </c>
      <c r="Y100">
        <v>531.44000000000005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332</v>
      </c>
      <c r="AG100">
        <v>0.84</v>
      </c>
      <c r="AH100">
        <v>2</v>
      </c>
      <c r="AI100">
        <v>78397694</v>
      </c>
      <c r="AJ100">
        <v>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5">
      <c r="A101">
        <f>ROW(Source!A85)</f>
        <v>85</v>
      </c>
      <c r="B101">
        <v>78397695</v>
      </c>
      <c r="C101">
        <v>78397689</v>
      </c>
      <c r="D101">
        <v>77500752</v>
      </c>
      <c r="E101">
        <v>1</v>
      </c>
      <c r="F101">
        <v>1</v>
      </c>
      <c r="G101">
        <v>1</v>
      </c>
      <c r="H101">
        <v>3</v>
      </c>
      <c r="I101" t="s">
        <v>141</v>
      </c>
      <c r="J101" t="s">
        <v>664</v>
      </c>
      <c r="K101" t="s">
        <v>142</v>
      </c>
      <c r="L101">
        <v>1346</v>
      </c>
      <c r="N101">
        <v>1009</v>
      </c>
      <c r="O101" t="s">
        <v>111</v>
      </c>
      <c r="P101" t="s">
        <v>111</v>
      </c>
      <c r="Q101">
        <v>1</v>
      </c>
      <c r="X101">
        <v>0.31</v>
      </c>
      <c r="Y101">
        <v>56.11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332</v>
      </c>
      <c r="AG101">
        <v>0.31</v>
      </c>
      <c r="AH101">
        <v>2</v>
      </c>
      <c r="AI101">
        <v>78397695</v>
      </c>
      <c r="AJ101">
        <v>100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5">
      <c r="A102">
        <f>ROW(Source!A85)</f>
        <v>85</v>
      </c>
      <c r="B102">
        <v>78397696</v>
      </c>
      <c r="C102">
        <v>78397689</v>
      </c>
      <c r="D102">
        <v>77427651</v>
      </c>
      <c r="E102">
        <v>117</v>
      </c>
      <c r="F102">
        <v>1</v>
      </c>
      <c r="G102">
        <v>1</v>
      </c>
      <c r="H102">
        <v>3</v>
      </c>
      <c r="I102" t="s">
        <v>714</v>
      </c>
      <c r="J102" t="s">
        <v>332</v>
      </c>
      <c r="K102" t="s">
        <v>715</v>
      </c>
      <c r="L102">
        <v>1348</v>
      </c>
      <c r="N102">
        <v>1009</v>
      </c>
      <c r="O102" t="s">
        <v>87</v>
      </c>
      <c r="P102" t="s">
        <v>87</v>
      </c>
      <c r="Q102">
        <v>1000</v>
      </c>
      <c r="X102">
        <v>3.3000000000000002E-2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332</v>
      </c>
      <c r="AG102">
        <v>3.3000000000000002E-2</v>
      </c>
      <c r="AH102">
        <v>3</v>
      </c>
      <c r="AI102">
        <v>-1</v>
      </c>
      <c r="AJ102" t="s">
        <v>332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5">
      <c r="A103">
        <f>ROW(Source!A85)</f>
        <v>85</v>
      </c>
      <c r="B103">
        <v>78397697</v>
      </c>
      <c r="C103">
        <v>78397689</v>
      </c>
      <c r="D103">
        <v>77427670</v>
      </c>
      <c r="E103">
        <v>117</v>
      </c>
      <c r="F103">
        <v>1</v>
      </c>
      <c r="G103">
        <v>1</v>
      </c>
      <c r="H103">
        <v>3</v>
      </c>
      <c r="I103" t="s">
        <v>716</v>
      </c>
      <c r="J103" t="s">
        <v>332</v>
      </c>
      <c r="K103" t="s">
        <v>717</v>
      </c>
      <c r="L103">
        <v>1348</v>
      </c>
      <c r="N103">
        <v>1009</v>
      </c>
      <c r="O103" t="s">
        <v>87</v>
      </c>
      <c r="P103" t="s">
        <v>87</v>
      </c>
      <c r="Q103">
        <v>1000</v>
      </c>
      <c r="X103">
        <v>2.1999999999999999E-2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332</v>
      </c>
      <c r="AG103">
        <v>2.1999999999999999E-2</v>
      </c>
      <c r="AH103">
        <v>3</v>
      </c>
      <c r="AI103">
        <v>-1</v>
      </c>
      <c r="AJ103" t="s">
        <v>332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5">
      <c r="A104">
        <f>ROW(Source!A85)</f>
        <v>85</v>
      </c>
      <c r="B104">
        <v>78397698</v>
      </c>
      <c r="C104">
        <v>78397689</v>
      </c>
      <c r="D104">
        <v>77517225</v>
      </c>
      <c r="E104">
        <v>1</v>
      </c>
      <c r="F104">
        <v>1</v>
      </c>
      <c r="G104">
        <v>1</v>
      </c>
      <c r="H104">
        <v>3</v>
      </c>
      <c r="I104" t="s">
        <v>270</v>
      </c>
      <c r="J104" t="s">
        <v>695</v>
      </c>
      <c r="K104" t="s">
        <v>271</v>
      </c>
      <c r="L104">
        <v>1348</v>
      </c>
      <c r="N104">
        <v>1009</v>
      </c>
      <c r="O104" t="s">
        <v>87</v>
      </c>
      <c r="P104" t="s">
        <v>87</v>
      </c>
      <c r="Q104">
        <v>1000</v>
      </c>
      <c r="X104">
        <v>5.4999999999999997E-3</v>
      </c>
      <c r="Y104">
        <v>52790.33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332</v>
      </c>
      <c r="AG104">
        <v>5.4999999999999997E-3</v>
      </c>
      <c r="AH104">
        <v>2</v>
      </c>
      <c r="AI104">
        <v>78397698</v>
      </c>
      <c r="AJ104">
        <v>103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5">
      <c r="A105">
        <f>ROW(Source!A88)</f>
        <v>88</v>
      </c>
      <c r="B105">
        <v>78397706</v>
      </c>
      <c r="C105">
        <v>78397705</v>
      </c>
      <c r="D105">
        <v>77423772</v>
      </c>
      <c r="E105">
        <v>117</v>
      </c>
      <c r="F105">
        <v>1</v>
      </c>
      <c r="G105">
        <v>1</v>
      </c>
      <c r="H105">
        <v>1</v>
      </c>
      <c r="I105" t="s">
        <v>53</v>
      </c>
      <c r="J105" t="s">
        <v>332</v>
      </c>
      <c r="K105" t="s">
        <v>54</v>
      </c>
      <c r="L105">
        <v>1191</v>
      </c>
      <c r="N105">
        <v>1013</v>
      </c>
      <c r="O105" t="s">
        <v>31</v>
      </c>
      <c r="P105" t="s">
        <v>31</v>
      </c>
      <c r="Q105">
        <v>1</v>
      </c>
      <c r="X105">
        <v>308</v>
      </c>
      <c r="Y105">
        <v>0</v>
      </c>
      <c r="Z105">
        <v>0</v>
      </c>
      <c r="AA105">
        <v>0</v>
      </c>
      <c r="AB105">
        <v>681.63</v>
      </c>
      <c r="AC105">
        <v>0</v>
      </c>
      <c r="AD105">
        <v>1</v>
      </c>
      <c r="AE105">
        <v>1</v>
      </c>
      <c r="AF105" t="s">
        <v>332</v>
      </c>
      <c r="AG105">
        <v>308</v>
      </c>
      <c r="AH105">
        <v>2</v>
      </c>
      <c r="AI105">
        <v>78397706</v>
      </c>
      <c r="AJ105">
        <v>104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5">
      <c r="A106">
        <f>ROW(Source!A88)</f>
        <v>88</v>
      </c>
      <c r="B106">
        <v>78397707</v>
      </c>
      <c r="C106">
        <v>78397705</v>
      </c>
      <c r="D106">
        <v>77423956</v>
      </c>
      <c r="E106">
        <v>117</v>
      </c>
      <c r="F106">
        <v>1</v>
      </c>
      <c r="G106">
        <v>1</v>
      </c>
      <c r="H106">
        <v>1</v>
      </c>
      <c r="I106" t="s">
        <v>647</v>
      </c>
      <c r="J106" t="s">
        <v>332</v>
      </c>
      <c r="K106" t="s">
        <v>648</v>
      </c>
      <c r="L106">
        <v>1191</v>
      </c>
      <c r="N106">
        <v>1013</v>
      </c>
      <c r="O106" t="s">
        <v>31</v>
      </c>
      <c r="P106" t="s">
        <v>31</v>
      </c>
      <c r="Q106">
        <v>1</v>
      </c>
      <c r="X106">
        <v>1.6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332</v>
      </c>
      <c r="AG106">
        <v>1.6</v>
      </c>
      <c r="AH106">
        <v>2</v>
      </c>
      <c r="AI106">
        <v>78397707</v>
      </c>
      <c r="AJ106">
        <v>105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5">
      <c r="A107">
        <f>ROW(Source!A88)</f>
        <v>88</v>
      </c>
      <c r="B107">
        <v>78397708</v>
      </c>
      <c r="C107">
        <v>78397705</v>
      </c>
      <c r="D107">
        <v>77431339</v>
      </c>
      <c r="E107">
        <v>1</v>
      </c>
      <c r="F107">
        <v>1</v>
      </c>
      <c r="G107">
        <v>1</v>
      </c>
      <c r="H107">
        <v>2</v>
      </c>
      <c r="I107" t="s">
        <v>62</v>
      </c>
      <c r="J107" t="s">
        <v>650</v>
      </c>
      <c r="K107" t="s">
        <v>63</v>
      </c>
      <c r="L107">
        <v>1368</v>
      </c>
      <c r="N107">
        <v>1011</v>
      </c>
      <c r="O107" t="s">
        <v>59</v>
      </c>
      <c r="P107" t="s">
        <v>59</v>
      </c>
      <c r="Q107">
        <v>1</v>
      </c>
      <c r="X107">
        <v>1.6</v>
      </c>
      <c r="Y107">
        <v>0</v>
      </c>
      <c r="Z107">
        <v>643.29</v>
      </c>
      <c r="AA107">
        <v>722.05</v>
      </c>
      <c r="AB107">
        <v>0</v>
      </c>
      <c r="AC107">
        <v>0</v>
      </c>
      <c r="AD107">
        <v>1</v>
      </c>
      <c r="AE107">
        <v>0</v>
      </c>
      <c r="AF107" t="s">
        <v>332</v>
      </c>
      <c r="AG107">
        <v>1.6</v>
      </c>
      <c r="AH107">
        <v>2</v>
      </c>
      <c r="AI107">
        <v>78397708</v>
      </c>
      <c r="AJ107">
        <v>106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5">
      <c r="A108">
        <f>ROW(Source!A88)</f>
        <v>88</v>
      </c>
      <c r="B108">
        <v>78397709</v>
      </c>
      <c r="C108">
        <v>78397705</v>
      </c>
      <c r="D108">
        <v>77495881</v>
      </c>
      <c r="E108">
        <v>1</v>
      </c>
      <c r="F108">
        <v>1</v>
      </c>
      <c r="G108">
        <v>1</v>
      </c>
      <c r="H108">
        <v>3</v>
      </c>
      <c r="I108" t="s">
        <v>276</v>
      </c>
      <c r="J108" t="s">
        <v>696</v>
      </c>
      <c r="K108" t="s">
        <v>277</v>
      </c>
      <c r="L108">
        <v>1407</v>
      </c>
      <c r="N108">
        <v>1013</v>
      </c>
      <c r="O108" t="s">
        <v>84</v>
      </c>
      <c r="P108" t="s">
        <v>84</v>
      </c>
      <c r="Q108">
        <v>1</v>
      </c>
      <c r="X108">
        <v>0.2</v>
      </c>
      <c r="Y108">
        <v>7023.63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332</v>
      </c>
      <c r="AG108">
        <v>0.2</v>
      </c>
      <c r="AH108">
        <v>2</v>
      </c>
      <c r="AI108">
        <v>78397709</v>
      </c>
      <c r="AJ108">
        <v>107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5">
      <c r="A109">
        <f>ROW(Source!A88)</f>
        <v>88</v>
      </c>
      <c r="B109">
        <v>78397710</v>
      </c>
      <c r="C109">
        <v>78397705</v>
      </c>
      <c r="D109">
        <v>77499590</v>
      </c>
      <c r="E109">
        <v>1</v>
      </c>
      <c r="F109">
        <v>1</v>
      </c>
      <c r="G109">
        <v>1</v>
      </c>
      <c r="H109">
        <v>3</v>
      </c>
      <c r="I109" t="s">
        <v>85</v>
      </c>
      <c r="J109" t="s">
        <v>652</v>
      </c>
      <c r="K109" t="s">
        <v>86</v>
      </c>
      <c r="L109">
        <v>1348</v>
      </c>
      <c r="N109">
        <v>1009</v>
      </c>
      <c r="O109" t="s">
        <v>87</v>
      </c>
      <c r="P109" t="s">
        <v>87</v>
      </c>
      <c r="Q109">
        <v>1000</v>
      </c>
      <c r="X109">
        <v>0.11</v>
      </c>
      <c r="Y109">
        <v>151744.95000000001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332</v>
      </c>
      <c r="AG109">
        <v>0.11</v>
      </c>
      <c r="AH109">
        <v>2</v>
      </c>
      <c r="AI109">
        <v>78397710</v>
      </c>
      <c r="AJ109">
        <v>108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5">
      <c r="A110">
        <f>ROW(Source!A88)</f>
        <v>88</v>
      </c>
      <c r="B110">
        <v>78397711</v>
      </c>
      <c r="C110">
        <v>78397705</v>
      </c>
      <c r="D110">
        <v>77428067</v>
      </c>
      <c r="E110">
        <v>117</v>
      </c>
      <c r="F110">
        <v>1</v>
      </c>
      <c r="G110">
        <v>1</v>
      </c>
      <c r="H110">
        <v>3</v>
      </c>
      <c r="I110" t="s">
        <v>698</v>
      </c>
      <c r="J110" t="s">
        <v>332</v>
      </c>
      <c r="K110" t="s">
        <v>699</v>
      </c>
      <c r="L110">
        <v>1371</v>
      </c>
      <c r="N110">
        <v>1013</v>
      </c>
      <c r="O110" t="s">
        <v>366</v>
      </c>
      <c r="P110" t="s">
        <v>366</v>
      </c>
      <c r="Q110">
        <v>1</v>
      </c>
      <c r="X110">
        <v>100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332</v>
      </c>
      <c r="AG110">
        <v>100</v>
      </c>
      <c r="AH110">
        <v>3</v>
      </c>
      <c r="AI110">
        <v>-1</v>
      </c>
      <c r="AJ110" t="s">
        <v>332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5">
      <c r="A111">
        <f>ROW(Source!A88)</f>
        <v>88</v>
      </c>
      <c r="B111">
        <v>78397712</v>
      </c>
      <c r="C111">
        <v>78397705</v>
      </c>
      <c r="D111">
        <v>77429794</v>
      </c>
      <c r="E111">
        <v>117</v>
      </c>
      <c r="F111">
        <v>1</v>
      </c>
      <c r="G111">
        <v>1</v>
      </c>
      <c r="H111">
        <v>3</v>
      </c>
      <c r="I111" t="s">
        <v>369</v>
      </c>
      <c r="J111" t="s">
        <v>332</v>
      </c>
      <c r="K111" t="s">
        <v>370</v>
      </c>
      <c r="L111">
        <v>1348</v>
      </c>
      <c r="N111">
        <v>1009</v>
      </c>
      <c r="O111" t="s">
        <v>87</v>
      </c>
      <c r="P111" t="s">
        <v>87</v>
      </c>
      <c r="Q111">
        <v>1000</v>
      </c>
      <c r="X111">
        <v>1.8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332</v>
      </c>
      <c r="AG111">
        <v>1.8</v>
      </c>
      <c r="AH111">
        <v>2</v>
      </c>
      <c r="AI111">
        <v>78397712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5">
      <c r="A112">
        <f>ROW(Source!A127)</f>
        <v>127</v>
      </c>
      <c r="B112">
        <v>78397778</v>
      </c>
      <c r="C112">
        <v>78397777</v>
      </c>
      <c r="D112">
        <v>77423786</v>
      </c>
      <c r="E112">
        <v>117</v>
      </c>
      <c r="F112">
        <v>1</v>
      </c>
      <c r="G112">
        <v>1</v>
      </c>
      <c r="H112">
        <v>1</v>
      </c>
      <c r="I112" t="s">
        <v>96</v>
      </c>
      <c r="J112" t="s">
        <v>332</v>
      </c>
      <c r="K112" t="s">
        <v>97</v>
      </c>
      <c r="L112">
        <v>1191</v>
      </c>
      <c r="N112">
        <v>1013</v>
      </c>
      <c r="O112" t="s">
        <v>31</v>
      </c>
      <c r="P112" t="s">
        <v>31</v>
      </c>
      <c r="Q112">
        <v>1</v>
      </c>
      <c r="X112">
        <v>158.5</v>
      </c>
      <c r="Y112">
        <v>0</v>
      </c>
      <c r="Z112">
        <v>0</v>
      </c>
      <c r="AA112">
        <v>0</v>
      </c>
      <c r="AB112">
        <v>722.05</v>
      </c>
      <c r="AC112">
        <v>0</v>
      </c>
      <c r="AD112">
        <v>1</v>
      </c>
      <c r="AE112">
        <v>1</v>
      </c>
      <c r="AF112" t="s">
        <v>332</v>
      </c>
      <c r="AG112">
        <v>158.5</v>
      </c>
      <c r="AH112">
        <v>2</v>
      </c>
      <c r="AI112">
        <v>78397778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5">
      <c r="A113">
        <f>ROW(Source!A127)</f>
        <v>127</v>
      </c>
      <c r="B113">
        <v>78397779</v>
      </c>
      <c r="C113">
        <v>78397777</v>
      </c>
      <c r="D113">
        <v>77423956</v>
      </c>
      <c r="E113">
        <v>117</v>
      </c>
      <c r="F113">
        <v>1</v>
      </c>
      <c r="G113">
        <v>1</v>
      </c>
      <c r="H113">
        <v>1</v>
      </c>
      <c r="I113" t="s">
        <v>647</v>
      </c>
      <c r="J113" t="s">
        <v>332</v>
      </c>
      <c r="K113" t="s">
        <v>648</v>
      </c>
      <c r="L113">
        <v>1191</v>
      </c>
      <c r="N113">
        <v>1013</v>
      </c>
      <c r="O113" t="s">
        <v>31</v>
      </c>
      <c r="P113" t="s">
        <v>31</v>
      </c>
      <c r="Q113">
        <v>1</v>
      </c>
      <c r="X113">
        <v>0.72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332</v>
      </c>
      <c r="AG113">
        <v>0.72</v>
      </c>
      <c r="AH113">
        <v>2</v>
      </c>
      <c r="AI113">
        <v>78397779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5">
      <c r="A114">
        <f>ROW(Source!A127)</f>
        <v>127</v>
      </c>
      <c r="B114">
        <v>78397780</v>
      </c>
      <c r="C114">
        <v>78397777</v>
      </c>
      <c r="D114">
        <v>77430632</v>
      </c>
      <c r="E114">
        <v>1</v>
      </c>
      <c r="F114">
        <v>1</v>
      </c>
      <c r="G114">
        <v>1</v>
      </c>
      <c r="H114">
        <v>2</v>
      </c>
      <c r="I114" t="s">
        <v>57</v>
      </c>
      <c r="J114" t="s">
        <v>649</v>
      </c>
      <c r="K114" t="s">
        <v>58</v>
      </c>
      <c r="L114">
        <v>1368</v>
      </c>
      <c r="N114">
        <v>1011</v>
      </c>
      <c r="O114" t="s">
        <v>59</v>
      </c>
      <c r="P114" t="s">
        <v>59</v>
      </c>
      <c r="Q114">
        <v>1</v>
      </c>
      <c r="X114">
        <v>0.36</v>
      </c>
      <c r="Y114">
        <v>0</v>
      </c>
      <c r="Z114">
        <v>37.32</v>
      </c>
      <c r="AA114">
        <v>641.22</v>
      </c>
      <c r="AB114">
        <v>0</v>
      </c>
      <c r="AC114">
        <v>0</v>
      </c>
      <c r="AD114">
        <v>1</v>
      </c>
      <c r="AE114">
        <v>0</v>
      </c>
      <c r="AF114" t="s">
        <v>332</v>
      </c>
      <c r="AG114">
        <v>0.36</v>
      </c>
      <c r="AH114">
        <v>2</v>
      </c>
      <c r="AI114">
        <v>78397780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5">
      <c r="A115">
        <f>ROW(Source!A127)</f>
        <v>127</v>
      </c>
      <c r="B115">
        <v>78397781</v>
      </c>
      <c r="C115">
        <v>78397777</v>
      </c>
      <c r="D115">
        <v>77431339</v>
      </c>
      <c r="E115">
        <v>1</v>
      </c>
      <c r="F115">
        <v>1</v>
      </c>
      <c r="G115">
        <v>1</v>
      </c>
      <c r="H115">
        <v>2</v>
      </c>
      <c r="I115" t="s">
        <v>62</v>
      </c>
      <c r="J115" t="s">
        <v>650</v>
      </c>
      <c r="K115" t="s">
        <v>63</v>
      </c>
      <c r="L115">
        <v>1368</v>
      </c>
      <c r="N115">
        <v>1011</v>
      </c>
      <c r="O115" t="s">
        <v>59</v>
      </c>
      <c r="P115" t="s">
        <v>59</v>
      </c>
      <c r="Q115">
        <v>1</v>
      </c>
      <c r="X115">
        <v>0.36</v>
      </c>
      <c r="Y115">
        <v>0</v>
      </c>
      <c r="Z115">
        <v>643.29</v>
      </c>
      <c r="AA115">
        <v>722.05</v>
      </c>
      <c r="AB115">
        <v>0</v>
      </c>
      <c r="AC115">
        <v>0</v>
      </c>
      <c r="AD115">
        <v>1</v>
      </c>
      <c r="AE115">
        <v>0</v>
      </c>
      <c r="AF115" t="s">
        <v>332</v>
      </c>
      <c r="AG115">
        <v>0.36</v>
      </c>
      <c r="AH115">
        <v>2</v>
      </c>
      <c r="AI115">
        <v>78397781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5">
      <c r="A116">
        <f>ROW(Source!A127)</f>
        <v>127</v>
      </c>
      <c r="B116">
        <v>78397782</v>
      </c>
      <c r="C116">
        <v>78397777</v>
      </c>
      <c r="D116">
        <v>77431497</v>
      </c>
      <c r="E116">
        <v>1</v>
      </c>
      <c r="F116">
        <v>1</v>
      </c>
      <c r="G116">
        <v>1</v>
      </c>
      <c r="H116">
        <v>2</v>
      </c>
      <c r="I116" t="s">
        <v>98</v>
      </c>
      <c r="J116" t="s">
        <v>653</v>
      </c>
      <c r="K116" t="s">
        <v>99</v>
      </c>
      <c r="L116">
        <v>1368</v>
      </c>
      <c r="N116">
        <v>1011</v>
      </c>
      <c r="O116" t="s">
        <v>59</v>
      </c>
      <c r="P116" t="s">
        <v>59</v>
      </c>
      <c r="Q116">
        <v>1</v>
      </c>
      <c r="X116">
        <v>8.9</v>
      </c>
      <c r="Y116">
        <v>0</v>
      </c>
      <c r="Z116">
        <v>4.3499999999999996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332</v>
      </c>
      <c r="AG116">
        <v>8.9</v>
      </c>
      <c r="AH116">
        <v>2</v>
      </c>
      <c r="AI116">
        <v>78397782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5">
      <c r="A117">
        <f>ROW(Source!A127)</f>
        <v>127</v>
      </c>
      <c r="B117">
        <v>78397783</v>
      </c>
      <c r="C117">
        <v>78397777</v>
      </c>
      <c r="D117">
        <v>77431535</v>
      </c>
      <c r="E117">
        <v>1</v>
      </c>
      <c r="F117">
        <v>1</v>
      </c>
      <c r="G117">
        <v>1</v>
      </c>
      <c r="H117">
        <v>2</v>
      </c>
      <c r="I117" t="s">
        <v>100</v>
      </c>
      <c r="J117" t="s">
        <v>654</v>
      </c>
      <c r="K117" t="s">
        <v>101</v>
      </c>
      <c r="L117">
        <v>1368</v>
      </c>
      <c r="N117">
        <v>1011</v>
      </c>
      <c r="O117" t="s">
        <v>59</v>
      </c>
      <c r="P117" t="s">
        <v>59</v>
      </c>
      <c r="Q117">
        <v>1</v>
      </c>
      <c r="X117">
        <v>25.9</v>
      </c>
      <c r="Y117">
        <v>0</v>
      </c>
      <c r="Z117">
        <v>32.26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332</v>
      </c>
      <c r="AG117">
        <v>25.9</v>
      </c>
      <c r="AH117">
        <v>2</v>
      </c>
      <c r="AI117">
        <v>78397783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5">
      <c r="A118">
        <f>ROW(Source!A127)</f>
        <v>127</v>
      </c>
      <c r="B118">
        <v>78397784</v>
      </c>
      <c r="C118">
        <v>78397777</v>
      </c>
      <c r="D118">
        <v>77496097</v>
      </c>
      <c r="E118">
        <v>1</v>
      </c>
      <c r="F118">
        <v>1</v>
      </c>
      <c r="G118">
        <v>1</v>
      </c>
      <c r="H118">
        <v>3</v>
      </c>
      <c r="I118" t="s">
        <v>102</v>
      </c>
      <c r="J118" t="s">
        <v>655</v>
      </c>
      <c r="K118" t="s">
        <v>103</v>
      </c>
      <c r="L118">
        <v>1339</v>
      </c>
      <c r="N118">
        <v>1007</v>
      </c>
      <c r="O118" t="s">
        <v>104</v>
      </c>
      <c r="P118" t="s">
        <v>104</v>
      </c>
      <c r="Q118">
        <v>1</v>
      </c>
      <c r="X118">
        <v>2.0499999999999998</v>
      </c>
      <c r="Y118">
        <v>340.41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332</v>
      </c>
      <c r="AG118">
        <v>2.0499999999999998</v>
      </c>
      <c r="AH118">
        <v>2</v>
      </c>
      <c r="AI118">
        <v>78397784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5">
      <c r="A119">
        <f>ROW(Source!A127)</f>
        <v>127</v>
      </c>
      <c r="B119">
        <v>78397785</v>
      </c>
      <c r="C119">
        <v>78397777</v>
      </c>
      <c r="D119">
        <v>77496113</v>
      </c>
      <c r="E119">
        <v>1</v>
      </c>
      <c r="F119">
        <v>1</v>
      </c>
      <c r="G119">
        <v>1</v>
      </c>
      <c r="H119">
        <v>3</v>
      </c>
      <c r="I119" t="s">
        <v>105</v>
      </c>
      <c r="J119" t="s">
        <v>656</v>
      </c>
      <c r="K119" t="s">
        <v>106</v>
      </c>
      <c r="L119">
        <v>1339</v>
      </c>
      <c r="N119">
        <v>1007</v>
      </c>
      <c r="O119" t="s">
        <v>104</v>
      </c>
      <c r="P119" t="s">
        <v>104</v>
      </c>
      <c r="Q119">
        <v>1</v>
      </c>
      <c r="X119">
        <v>2.52</v>
      </c>
      <c r="Y119">
        <v>114.64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332</v>
      </c>
      <c r="AG119">
        <v>2.52</v>
      </c>
      <c r="AH119">
        <v>2</v>
      </c>
      <c r="AI119">
        <v>78397785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5">
      <c r="A120">
        <f>ROW(Source!A127)</f>
        <v>127</v>
      </c>
      <c r="B120">
        <v>78397786</v>
      </c>
      <c r="C120">
        <v>78397777</v>
      </c>
      <c r="D120">
        <v>77498725</v>
      </c>
      <c r="E120">
        <v>1</v>
      </c>
      <c r="F120">
        <v>1</v>
      </c>
      <c r="G120">
        <v>1</v>
      </c>
      <c r="H120">
        <v>3</v>
      </c>
      <c r="I120" t="s">
        <v>107</v>
      </c>
      <c r="J120" t="s">
        <v>657</v>
      </c>
      <c r="K120" t="s">
        <v>108</v>
      </c>
      <c r="L120">
        <v>1348</v>
      </c>
      <c r="N120">
        <v>1009</v>
      </c>
      <c r="O120" t="s">
        <v>87</v>
      </c>
      <c r="P120" t="s">
        <v>87</v>
      </c>
      <c r="Q120">
        <v>1000</v>
      </c>
      <c r="X120">
        <v>1E-3</v>
      </c>
      <c r="Y120">
        <v>97282.880000000005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332</v>
      </c>
      <c r="AG120">
        <v>1E-3</v>
      </c>
      <c r="AH120">
        <v>2</v>
      </c>
      <c r="AI120">
        <v>78397786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5">
      <c r="A121">
        <f>ROW(Source!A127)</f>
        <v>127</v>
      </c>
      <c r="B121">
        <v>78397787</v>
      </c>
      <c r="C121">
        <v>78397777</v>
      </c>
      <c r="D121">
        <v>77498850</v>
      </c>
      <c r="E121">
        <v>1</v>
      </c>
      <c r="F121">
        <v>1</v>
      </c>
      <c r="G121">
        <v>1</v>
      </c>
      <c r="H121">
        <v>3</v>
      </c>
      <c r="I121" t="s">
        <v>109</v>
      </c>
      <c r="J121" t="s">
        <v>658</v>
      </c>
      <c r="K121" t="s">
        <v>110</v>
      </c>
      <c r="L121">
        <v>1346</v>
      </c>
      <c r="N121">
        <v>1009</v>
      </c>
      <c r="O121" t="s">
        <v>111</v>
      </c>
      <c r="P121" t="s">
        <v>111</v>
      </c>
      <c r="Q121">
        <v>1</v>
      </c>
      <c r="X121">
        <v>6</v>
      </c>
      <c r="Y121">
        <v>155.63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332</v>
      </c>
      <c r="AG121">
        <v>6</v>
      </c>
      <c r="AH121">
        <v>2</v>
      </c>
      <c r="AI121">
        <v>78397787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5">
      <c r="A122">
        <f>ROW(Source!A127)</f>
        <v>127</v>
      </c>
      <c r="B122">
        <v>78397788</v>
      </c>
      <c r="C122">
        <v>78397777</v>
      </c>
      <c r="D122">
        <v>77428104</v>
      </c>
      <c r="E122">
        <v>117</v>
      </c>
      <c r="F122">
        <v>1</v>
      </c>
      <c r="G122">
        <v>1</v>
      </c>
      <c r="H122">
        <v>3</v>
      </c>
      <c r="I122" t="s">
        <v>700</v>
      </c>
      <c r="J122" t="s">
        <v>332</v>
      </c>
      <c r="K122" t="s">
        <v>701</v>
      </c>
      <c r="L122">
        <v>1371</v>
      </c>
      <c r="N122">
        <v>1013</v>
      </c>
      <c r="O122" t="s">
        <v>366</v>
      </c>
      <c r="P122" t="s">
        <v>366</v>
      </c>
      <c r="Q122">
        <v>1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 t="s">
        <v>332</v>
      </c>
      <c r="AG122">
        <v>0</v>
      </c>
      <c r="AH122">
        <v>3</v>
      </c>
      <c r="AI122">
        <v>-1</v>
      </c>
      <c r="AJ122" t="s">
        <v>332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5">
      <c r="A123">
        <f>ROW(Source!A127)</f>
        <v>127</v>
      </c>
      <c r="B123">
        <v>78397789</v>
      </c>
      <c r="C123">
        <v>78397777</v>
      </c>
      <c r="D123">
        <v>77428272</v>
      </c>
      <c r="E123">
        <v>117</v>
      </c>
      <c r="F123">
        <v>1</v>
      </c>
      <c r="G123">
        <v>1</v>
      </c>
      <c r="H123">
        <v>3</v>
      </c>
      <c r="I123" t="s">
        <v>702</v>
      </c>
      <c r="J123" t="s">
        <v>332</v>
      </c>
      <c r="K123" t="s">
        <v>703</v>
      </c>
      <c r="L123">
        <v>1301</v>
      </c>
      <c r="N123">
        <v>1003</v>
      </c>
      <c r="O123" t="s">
        <v>69</v>
      </c>
      <c r="P123" t="s">
        <v>69</v>
      </c>
      <c r="Q123">
        <v>1</v>
      </c>
      <c r="X123">
        <v>100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332</v>
      </c>
      <c r="AG123">
        <v>100</v>
      </c>
      <c r="AH123">
        <v>3</v>
      </c>
      <c r="AI123">
        <v>-1</v>
      </c>
      <c r="AJ123" t="s">
        <v>332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5">
      <c r="A124">
        <f>ROW(Source!A127)</f>
        <v>127</v>
      </c>
      <c r="B124">
        <v>78397790</v>
      </c>
      <c r="C124">
        <v>78397777</v>
      </c>
      <c r="D124">
        <v>77428933</v>
      </c>
      <c r="E124">
        <v>117</v>
      </c>
      <c r="F124">
        <v>1</v>
      </c>
      <c r="G124">
        <v>1</v>
      </c>
      <c r="H124">
        <v>3</v>
      </c>
      <c r="I124" t="s">
        <v>704</v>
      </c>
      <c r="J124" t="s">
        <v>332</v>
      </c>
      <c r="K124" t="s">
        <v>705</v>
      </c>
      <c r="L124">
        <v>1346</v>
      </c>
      <c r="N124">
        <v>1009</v>
      </c>
      <c r="O124" t="s">
        <v>111</v>
      </c>
      <c r="P124" t="s">
        <v>111</v>
      </c>
      <c r="Q124">
        <v>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332</v>
      </c>
      <c r="AG124">
        <v>0</v>
      </c>
      <c r="AH124">
        <v>3</v>
      </c>
      <c r="AI124">
        <v>-1</v>
      </c>
      <c r="AJ124" t="s">
        <v>332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5">
      <c r="A125">
        <f>ROW(Source!A131)</f>
        <v>131</v>
      </c>
      <c r="B125">
        <v>78397809</v>
      </c>
      <c r="C125">
        <v>78397800</v>
      </c>
      <c r="D125">
        <v>28082212</v>
      </c>
      <c r="E125">
        <v>117</v>
      </c>
      <c r="F125">
        <v>1</v>
      </c>
      <c r="G125">
        <v>1</v>
      </c>
      <c r="H125">
        <v>1</v>
      </c>
      <c r="I125" t="s">
        <v>117</v>
      </c>
      <c r="J125" t="s">
        <v>332</v>
      </c>
      <c r="K125" t="s">
        <v>118</v>
      </c>
      <c r="L125">
        <v>1191</v>
      </c>
      <c r="N125">
        <v>1013</v>
      </c>
      <c r="O125" t="s">
        <v>31</v>
      </c>
      <c r="P125" t="s">
        <v>31</v>
      </c>
      <c r="Q125">
        <v>1</v>
      </c>
      <c r="X125">
        <v>5.31</v>
      </c>
      <c r="Y125">
        <v>0</v>
      </c>
      <c r="Z125">
        <v>0</v>
      </c>
      <c r="AA125">
        <v>0</v>
      </c>
      <c r="AB125">
        <v>797.48</v>
      </c>
      <c r="AC125">
        <v>0</v>
      </c>
      <c r="AD125">
        <v>1</v>
      </c>
      <c r="AE125">
        <v>1</v>
      </c>
      <c r="AF125" t="s">
        <v>388</v>
      </c>
      <c r="AG125">
        <v>12.212999999999999</v>
      </c>
      <c r="AH125">
        <v>2</v>
      </c>
      <c r="AI125">
        <v>78397801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5">
      <c r="A126">
        <f>ROW(Source!A131)</f>
        <v>131</v>
      </c>
      <c r="B126">
        <v>78397810</v>
      </c>
      <c r="C126">
        <v>78397800</v>
      </c>
      <c r="D126">
        <v>28074654</v>
      </c>
      <c r="E126">
        <v>117</v>
      </c>
      <c r="F126">
        <v>1</v>
      </c>
      <c r="G126">
        <v>1</v>
      </c>
      <c r="H126">
        <v>1</v>
      </c>
      <c r="I126" t="s">
        <v>647</v>
      </c>
      <c r="J126" t="s">
        <v>332</v>
      </c>
      <c r="K126" t="s">
        <v>648</v>
      </c>
      <c r="L126">
        <v>1191</v>
      </c>
      <c r="N126">
        <v>1013</v>
      </c>
      <c r="O126" t="s">
        <v>31</v>
      </c>
      <c r="P126" t="s">
        <v>31</v>
      </c>
      <c r="Q126">
        <v>1</v>
      </c>
      <c r="X126">
        <v>0.02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2</v>
      </c>
      <c r="AF126" t="s">
        <v>387</v>
      </c>
      <c r="AG126">
        <v>0.05</v>
      </c>
      <c r="AH126">
        <v>2</v>
      </c>
      <c r="AI126">
        <v>78397802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5">
      <c r="A127">
        <f>ROW(Source!A131)</f>
        <v>131</v>
      </c>
      <c r="B127">
        <v>78397811</v>
      </c>
      <c r="C127">
        <v>78397800</v>
      </c>
      <c r="D127">
        <v>77430584</v>
      </c>
      <c r="E127">
        <v>1</v>
      </c>
      <c r="F127">
        <v>1</v>
      </c>
      <c r="G127">
        <v>1</v>
      </c>
      <c r="H127">
        <v>2</v>
      </c>
      <c r="I127" t="s">
        <v>119</v>
      </c>
      <c r="J127" t="s">
        <v>659</v>
      </c>
      <c r="K127" t="s">
        <v>120</v>
      </c>
      <c r="L127">
        <v>1368</v>
      </c>
      <c r="N127">
        <v>1011</v>
      </c>
      <c r="O127" t="s">
        <v>59</v>
      </c>
      <c r="P127" t="s">
        <v>59</v>
      </c>
      <c r="Q127">
        <v>1</v>
      </c>
      <c r="X127">
        <v>0.01</v>
      </c>
      <c r="Y127">
        <v>0</v>
      </c>
      <c r="Z127">
        <v>6.62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387</v>
      </c>
      <c r="AG127">
        <v>2.5000000000000001E-2</v>
      </c>
      <c r="AH127">
        <v>2</v>
      </c>
      <c r="AI127">
        <v>78397803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5">
      <c r="A128">
        <f>ROW(Source!A131)</f>
        <v>131</v>
      </c>
      <c r="B128">
        <v>78397812</v>
      </c>
      <c r="C128">
        <v>78397800</v>
      </c>
      <c r="D128">
        <v>77430602</v>
      </c>
      <c r="E128">
        <v>1</v>
      </c>
      <c r="F128">
        <v>1</v>
      </c>
      <c r="G128">
        <v>1</v>
      </c>
      <c r="H128">
        <v>2</v>
      </c>
      <c r="I128" t="s">
        <v>121</v>
      </c>
      <c r="J128" t="s">
        <v>660</v>
      </c>
      <c r="K128" t="s">
        <v>122</v>
      </c>
      <c r="L128">
        <v>1368</v>
      </c>
      <c r="N128">
        <v>1011</v>
      </c>
      <c r="O128" t="s">
        <v>59</v>
      </c>
      <c r="P128" t="s">
        <v>59</v>
      </c>
      <c r="Q128">
        <v>1</v>
      </c>
      <c r="X128">
        <v>0.01</v>
      </c>
      <c r="Y128">
        <v>0</v>
      </c>
      <c r="Z128">
        <v>1593.71</v>
      </c>
      <c r="AA128">
        <v>829.81</v>
      </c>
      <c r="AB128">
        <v>0</v>
      </c>
      <c r="AC128">
        <v>0</v>
      </c>
      <c r="AD128">
        <v>1</v>
      </c>
      <c r="AE128">
        <v>0</v>
      </c>
      <c r="AF128" t="s">
        <v>387</v>
      </c>
      <c r="AG128">
        <v>2.5000000000000001E-2</v>
      </c>
      <c r="AH128">
        <v>2</v>
      </c>
      <c r="AI128">
        <v>78397804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5">
      <c r="A129">
        <f>ROW(Source!A131)</f>
        <v>131</v>
      </c>
      <c r="B129">
        <v>78397813</v>
      </c>
      <c r="C129">
        <v>78397800</v>
      </c>
      <c r="D129">
        <v>77431339</v>
      </c>
      <c r="E129">
        <v>1</v>
      </c>
      <c r="F129">
        <v>1</v>
      </c>
      <c r="G129">
        <v>1</v>
      </c>
      <c r="H129">
        <v>2</v>
      </c>
      <c r="I129" t="s">
        <v>62</v>
      </c>
      <c r="J129" t="s">
        <v>650</v>
      </c>
      <c r="K129" t="s">
        <v>63</v>
      </c>
      <c r="L129">
        <v>1368</v>
      </c>
      <c r="N129">
        <v>1011</v>
      </c>
      <c r="O129" t="s">
        <v>59</v>
      </c>
      <c r="P129" t="s">
        <v>59</v>
      </c>
      <c r="Q129">
        <v>1</v>
      </c>
      <c r="X129">
        <v>0.01</v>
      </c>
      <c r="Y129">
        <v>0</v>
      </c>
      <c r="Z129">
        <v>643.29</v>
      </c>
      <c r="AA129">
        <v>722.05</v>
      </c>
      <c r="AB129">
        <v>0</v>
      </c>
      <c r="AC129">
        <v>0</v>
      </c>
      <c r="AD129">
        <v>1</v>
      </c>
      <c r="AE129">
        <v>0</v>
      </c>
      <c r="AF129" t="s">
        <v>387</v>
      </c>
      <c r="AG129">
        <v>2.5000000000000001E-2</v>
      </c>
      <c r="AH129">
        <v>2</v>
      </c>
      <c r="AI129">
        <v>78397805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5">
      <c r="A130">
        <f>ROW(Source!A131)</f>
        <v>131</v>
      </c>
      <c r="B130">
        <v>78397814</v>
      </c>
      <c r="C130">
        <v>78397800</v>
      </c>
      <c r="D130">
        <v>77431896</v>
      </c>
      <c r="E130">
        <v>1</v>
      </c>
      <c r="F130">
        <v>1</v>
      </c>
      <c r="G130">
        <v>1</v>
      </c>
      <c r="H130">
        <v>2</v>
      </c>
      <c r="I130" t="s">
        <v>125</v>
      </c>
      <c r="J130" t="s">
        <v>661</v>
      </c>
      <c r="K130" t="s">
        <v>126</v>
      </c>
      <c r="L130">
        <v>1368</v>
      </c>
      <c r="N130">
        <v>1011</v>
      </c>
      <c r="O130" t="s">
        <v>59</v>
      </c>
      <c r="P130" t="s">
        <v>59</v>
      </c>
      <c r="Q130">
        <v>1</v>
      </c>
      <c r="X130">
        <v>1.1200000000000001</v>
      </c>
      <c r="Y130">
        <v>0</v>
      </c>
      <c r="Z130">
        <v>4.5199999999999996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387</v>
      </c>
      <c r="AG130">
        <v>2.8</v>
      </c>
      <c r="AH130">
        <v>2</v>
      </c>
      <c r="AI130">
        <v>78397806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5">
      <c r="A131">
        <f>ROW(Source!A131)</f>
        <v>131</v>
      </c>
      <c r="B131">
        <v>78397815</v>
      </c>
      <c r="C131">
        <v>78397800</v>
      </c>
      <c r="D131">
        <v>77516680</v>
      </c>
      <c r="E131">
        <v>1</v>
      </c>
      <c r="F131">
        <v>1</v>
      </c>
      <c r="G131">
        <v>1</v>
      </c>
      <c r="H131">
        <v>3</v>
      </c>
      <c r="I131" t="s">
        <v>127</v>
      </c>
      <c r="J131" t="s">
        <v>662</v>
      </c>
      <c r="K131" t="s">
        <v>128</v>
      </c>
      <c r="L131">
        <v>1348</v>
      </c>
      <c r="N131">
        <v>1009</v>
      </c>
      <c r="O131" t="s">
        <v>87</v>
      </c>
      <c r="P131" t="s">
        <v>87</v>
      </c>
      <c r="Q131">
        <v>1000</v>
      </c>
      <c r="X131">
        <v>8.9999999999999993E-3</v>
      </c>
      <c r="Y131">
        <v>51280.15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386</v>
      </c>
      <c r="AG131">
        <v>1.7999999999999999E-2</v>
      </c>
      <c r="AH131">
        <v>2</v>
      </c>
      <c r="AI131">
        <v>78397807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5">
      <c r="A132">
        <f>ROW(Source!A131)</f>
        <v>131</v>
      </c>
      <c r="B132">
        <v>78397816</v>
      </c>
      <c r="C132">
        <v>78397800</v>
      </c>
      <c r="D132">
        <v>77517151</v>
      </c>
      <c r="E132">
        <v>1</v>
      </c>
      <c r="F132">
        <v>1</v>
      </c>
      <c r="G132">
        <v>1</v>
      </c>
      <c r="H132">
        <v>3</v>
      </c>
      <c r="I132" t="s">
        <v>129</v>
      </c>
      <c r="J132" t="s">
        <v>663</v>
      </c>
      <c r="K132" t="s">
        <v>130</v>
      </c>
      <c r="L132">
        <v>1348</v>
      </c>
      <c r="N132">
        <v>1009</v>
      </c>
      <c r="O132" t="s">
        <v>87</v>
      </c>
      <c r="P132" t="s">
        <v>87</v>
      </c>
      <c r="Q132">
        <v>1000</v>
      </c>
      <c r="X132">
        <v>1.5E-3</v>
      </c>
      <c r="Y132">
        <v>75885.63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386</v>
      </c>
      <c r="AG132">
        <v>3.0000000000000001E-3</v>
      </c>
      <c r="AH132">
        <v>2</v>
      </c>
      <c r="AI132">
        <v>78397808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5">
      <c r="A133">
        <f>ROW(Source!A132)</f>
        <v>132</v>
      </c>
      <c r="B133">
        <v>78397825</v>
      </c>
      <c r="C133">
        <v>78397817</v>
      </c>
      <c r="D133">
        <v>28074754</v>
      </c>
      <c r="E133">
        <v>117</v>
      </c>
      <c r="F133">
        <v>1</v>
      </c>
      <c r="G133">
        <v>1</v>
      </c>
      <c r="H133">
        <v>1</v>
      </c>
      <c r="I133" t="s">
        <v>139</v>
      </c>
      <c r="J133" t="s">
        <v>332</v>
      </c>
      <c r="K133" t="s">
        <v>140</v>
      </c>
      <c r="L133">
        <v>1191</v>
      </c>
      <c r="N133">
        <v>1013</v>
      </c>
      <c r="O133" t="s">
        <v>31</v>
      </c>
      <c r="P133" t="s">
        <v>31</v>
      </c>
      <c r="Q133">
        <v>1</v>
      </c>
      <c r="X133">
        <v>64.599999999999994</v>
      </c>
      <c r="Y133">
        <v>0</v>
      </c>
      <c r="Z133">
        <v>0</v>
      </c>
      <c r="AA133">
        <v>0</v>
      </c>
      <c r="AB133">
        <v>665.47</v>
      </c>
      <c r="AC133">
        <v>0</v>
      </c>
      <c r="AD133">
        <v>1</v>
      </c>
      <c r="AE133">
        <v>1</v>
      </c>
      <c r="AF133" t="s">
        <v>402</v>
      </c>
      <c r="AG133">
        <v>74.290000000000006</v>
      </c>
      <c r="AH133">
        <v>2</v>
      </c>
      <c r="AI133">
        <v>78397818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5">
      <c r="A134">
        <f>ROW(Source!A132)</f>
        <v>132</v>
      </c>
      <c r="B134">
        <v>78397826</v>
      </c>
      <c r="C134">
        <v>78397817</v>
      </c>
      <c r="D134">
        <v>28074654</v>
      </c>
      <c r="E134">
        <v>117</v>
      </c>
      <c r="F134">
        <v>1</v>
      </c>
      <c r="G134">
        <v>1</v>
      </c>
      <c r="H134">
        <v>1</v>
      </c>
      <c r="I134" t="s">
        <v>647</v>
      </c>
      <c r="J134" t="s">
        <v>332</v>
      </c>
      <c r="K134" t="s">
        <v>648</v>
      </c>
      <c r="L134">
        <v>1191</v>
      </c>
      <c r="N134">
        <v>1013</v>
      </c>
      <c r="O134" t="s">
        <v>31</v>
      </c>
      <c r="P134" t="s">
        <v>31</v>
      </c>
      <c r="Q134">
        <v>1</v>
      </c>
      <c r="X134">
        <v>0.04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2</v>
      </c>
      <c r="AF134" t="s">
        <v>401</v>
      </c>
      <c r="AG134">
        <v>0.05</v>
      </c>
      <c r="AH134">
        <v>2</v>
      </c>
      <c r="AI134">
        <v>78397819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5">
      <c r="A135">
        <f>ROW(Source!A132)</f>
        <v>132</v>
      </c>
      <c r="B135">
        <v>78397827</v>
      </c>
      <c r="C135">
        <v>78397817</v>
      </c>
      <c r="D135">
        <v>77430632</v>
      </c>
      <c r="E135">
        <v>1</v>
      </c>
      <c r="F135">
        <v>1</v>
      </c>
      <c r="G135">
        <v>1</v>
      </c>
      <c r="H135">
        <v>2</v>
      </c>
      <c r="I135" t="s">
        <v>57</v>
      </c>
      <c r="J135" t="s">
        <v>649</v>
      </c>
      <c r="K135" t="s">
        <v>58</v>
      </c>
      <c r="L135">
        <v>1368</v>
      </c>
      <c r="N135">
        <v>1011</v>
      </c>
      <c r="O135" t="s">
        <v>59</v>
      </c>
      <c r="P135" t="s">
        <v>59</v>
      </c>
      <c r="Q135">
        <v>1</v>
      </c>
      <c r="X135">
        <v>0.01</v>
      </c>
      <c r="Y135">
        <v>0</v>
      </c>
      <c r="Z135">
        <v>37.32</v>
      </c>
      <c r="AA135">
        <v>641.22</v>
      </c>
      <c r="AB135">
        <v>0</v>
      </c>
      <c r="AC135">
        <v>0</v>
      </c>
      <c r="AD135">
        <v>1</v>
      </c>
      <c r="AE135">
        <v>0</v>
      </c>
      <c r="AF135" t="s">
        <v>401</v>
      </c>
      <c r="AG135">
        <v>1.2500000000000001E-2</v>
      </c>
      <c r="AH135">
        <v>2</v>
      </c>
      <c r="AI135">
        <v>78397820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5">
      <c r="A136">
        <f>ROW(Source!A132)</f>
        <v>132</v>
      </c>
      <c r="B136">
        <v>78397828</v>
      </c>
      <c r="C136">
        <v>78397817</v>
      </c>
      <c r="D136">
        <v>77431339</v>
      </c>
      <c r="E136">
        <v>1</v>
      </c>
      <c r="F136">
        <v>1</v>
      </c>
      <c r="G136">
        <v>1</v>
      </c>
      <c r="H136">
        <v>2</v>
      </c>
      <c r="I136" t="s">
        <v>62</v>
      </c>
      <c r="J136" t="s">
        <v>650</v>
      </c>
      <c r="K136" t="s">
        <v>63</v>
      </c>
      <c r="L136">
        <v>1368</v>
      </c>
      <c r="N136">
        <v>1011</v>
      </c>
      <c r="O136" t="s">
        <v>59</v>
      </c>
      <c r="P136" t="s">
        <v>59</v>
      </c>
      <c r="Q136">
        <v>1</v>
      </c>
      <c r="X136">
        <v>0.03</v>
      </c>
      <c r="Y136">
        <v>0</v>
      </c>
      <c r="Z136">
        <v>643.29</v>
      </c>
      <c r="AA136">
        <v>722.05</v>
      </c>
      <c r="AB136">
        <v>0</v>
      </c>
      <c r="AC136">
        <v>0</v>
      </c>
      <c r="AD136">
        <v>1</v>
      </c>
      <c r="AE136">
        <v>0</v>
      </c>
      <c r="AF136" t="s">
        <v>401</v>
      </c>
      <c r="AG136">
        <v>3.7499999999999999E-2</v>
      </c>
      <c r="AH136">
        <v>2</v>
      </c>
      <c r="AI136">
        <v>78397821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5">
      <c r="A137">
        <f>ROW(Source!A132)</f>
        <v>132</v>
      </c>
      <c r="B137">
        <v>78397829</v>
      </c>
      <c r="C137">
        <v>78397817</v>
      </c>
      <c r="D137">
        <v>77500752</v>
      </c>
      <c r="E137">
        <v>1</v>
      </c>
      <c r="F137">
        <v>1</v>
      </c>
      <c r="G137">
        <v>1</v>
      </c>
      <c r="H137">
        <v>3</v>
      </c>
      <c r="I137" t="s">
        <v>141</v>
      </c>
      <c r="J137" t="s">
        <v>664</v>
      </c>
      <c r="K137" t="s">
        <v>142</v>
      </c>
      <c r="L137">
        <v>1346</v>
      </c>
      <c r="N137">
        <v>1009</v>
      </c>
      <c r="O137" t="s">
        <v>111</v>
      </c>
      <c r="P137" t="s">
        <v>111</v>
      </c>
      <c r="Q137">
        <v>1</v>
      </c>
      <c r="X137">
        <v>0.3</v>
      </c>
      <c r="Y137">
        <v>56.11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332</v>
      </c>
      <c r="AG137">
        <v>0.3</v>
      </c>
      <c r="AH137">
        <v>2</v>
      </c>
      <c r="AI137">
        <v>78397822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5">
      <c r="A138">
        <f>ROW(Source!A132)</f>
        <v>132</v>
      </c>
      <c r="B138">
        <v>78397830</v>
      </c>
      <c r="C138">
        <v>78397817</v>
      </c>
      <c r="D138">
        <v>77427698</v>
      </c>
      <c r="E138">
        <v>117</v>
      </c>
      <c r="F138">
        <v>1</v>
      </c>
      <c r="G138">
        <v>1</v>
      </c>
      <c r="H138">
        <v>3</v>
      </c>
      <c r="I138" t="s">
        <v>706</v>
      </c>
      <c r="J138" t="s">
        <v>332</v>
      </c>
      <c r="K138" t="s">
        <v>707</v>
      </c>
      <c r="L138">
        <v>1346</v>
      </c>
      <c r="N138">
        <v>1009</v>
      </c>
      <c r="O138" t="s">
        <v>111</v>
      </c>
      <c r="P138" t="s">
        <v>111</v>
      </c>
      <c r="Q138">
        <v>1</v>
      </c>
      <c r="X138">
        <v>24.6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332</v>
      </c>
      <c r="AG138">
        <v>24.6</v>
      </c>
      <c r="AH138">
        <v>3</v>
      </c>
      <c r="AI138">
        <v>-1</v>
      </c>
      <c r="AJ138" t="s">
        <v>332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5">
      <c r="A139">
        <f>ROW(Source!A132)</f>
        <v>132</v>
      </c>
      <c r="B139">
        <v>78397831</v>
      </c>
      <c r="C139">
        <v>78397817</v>
      </c>
      <c r="D139">
        <v>77517068</v>
      </c>
      <c r="E139">
        <v>1</v>
      </c>
      <c r="F139">
        <v>1</v>
      </c>
      <c r="G139">
        <v>1</v>
      </c>
      <c r="H139">
        <v>3</v>
      </c>
      <c r="I139" t="s">
        <v>143</v>
      </c>
      <c r="J139" t="s">
        <v>665</v>
      </c>
      <c r="K139" t="s">
        <v>144</v>
      </c>
      <c r="L139">
        <v>1346</v>
      </c>
      <c r="N139">
        <v>1009</v>
      </c>
      <c r="O139" t="s">
        <v>111</v>
      </c>
      <c r="P139" t="s">
        <v>111</v>
      </c>
      <c r="Q139">
        <v>1</v>
      </c>
      <c r="X139">
        <v>2.7</v>
      </c>
      <c r="Y139">
        <v>133.31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332</v>
      </c>
      <c r="AG139">
        <v>2.7</v>
      </c>
      <c r="AH139">
        <v>2</v>
      </c>
      <c r="AI139">
        <v>78397824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5">
      <c r="A140">
        <f>ROW(Source!A134)</f>
        <v>134</v>
      </c>
      <c r="B140">
        <v>78397844</v>
      </c>
      <c r="C140">
        <v>78397833</v>
      </c>
      <c r="D140">
        <v>28082536</v>
      </c>
      <c r="E140">
        <v>117</v>
      </c>
      <c r="F140">
        <v>1</v>
      </c>
      <c r="G140">
        <v>1</v>
      </c>
      <c r="H140">
        <v>1</v>
      </c>
      <c r="I140" t="s">
        <v>152</v>
      </c>
      <c r="J140" t="s">
        <v>332</v>
      </c>
      <c r="K140" t="s">
        <v>153</v>
      </c>
      <c r="L140">
        <v>1191</v>
      </c>
      <c r="N140">
        <v>1013</v>
      </c>
      <c r="O140" t="s">
        <v>31</v>
      </c>
      <c r="P140" t="s">
        <v>31</v>
      </c>
      <c r="Q140">
        <v>1</v>
      </c>
      <c r="X140">
        <v>18.45</v>
      </c>
      <c r="Y140">
        <v>0</v>
      </c>
      <c r="Z140">
        <v>0</v>
      </c>
      <c r="AA140">
        <v>0</v>
      </c>
      <c r="AB140">
        <v>689.72</v>
      </c>
      <c r="AC140">
        <v>0</v>
      </c>
      <c r="AD140">
        <v>1</v>
      </c>
      <c r="AE140">
        <v>1</v>
      </c>
      <c r="AF140" t="s">
        <v>402</v>
      </c>
      <c r="AG140">
        <v>21.217500000000001</v>
      </c>
      <c r="AH140">
        <v>2</v>
      </c>
      <c r="AI140">
        <v>78397834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5">
      <c r="A141">
        <f>ROW(Source!A134)</f>
        <v>134</v>
      </c>
      <c r="B141">
        <v>78397845</v>
      </c>
      <c r="C141">
        <v>78397833</v>
      </c>
      <c r="D141">
        <v>28074654</v>
      </c>
      <c r="E141">
        <v>117</v>
      </c>
      <c r="F141">
        <v>1</v>
      </c>
      <c r="G141">
        <v>1</v>
      </c>
      <c r="H141">
        <v>1</v>
      </c>
      <c r="I141" t="s">
        <v>647</v>
      </c>
      <c r="J141" t="s">
        <v>332</v>
      </c>
      <c r="K141" t="s">
        <v>648</v>
      </c>
      <c r="L141">
        <v>1191</v>
      </c>
      <c r="N141">
        <v>1013</v>
      </c>
      <c r="O141" t="s">
        <v>31</v>
      </c>
      <c r="P141" t="s">
        <v>31</v>
      </c>
      <c r="Q141">
        <v>1</v>
      </c>
      <c r="X141">
        <v>0.37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2</v>
      </c>
      <c r="AF141" t="s">
        <v>401</v>
      </c>
      <c r="AG141">
        <v>0.46250000000000002</v>
      </c>
      <c r="AH141">
        <v>2</v>
      </c>
      <c r="AI141">
        <v>78397835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5">
      <c r="A142">
        <f>ROW(Source!A134)</f>
        <v>134</v>
      </c>
      <c r="B142">
        <v>78397846</v>
      </c>
      <c r="C142">
        <v>78397833</v>
      </c>
      <c r="D142">
        <v>77431339</v>
      </c>
      <c r="E142">
        <v>1</v>
      </c>
      <c r="F142">
        <v>1</v>
      </c>
      <c r="G142">
        <v>1</v>
      </c>
      <c r="H142">
        <v>2</v>
      </c>
      <c r="I142" t="s">
        <v>62</v>
      </c>
      <c r="J142" t="s">
        <v>650</v>
      </c>
      <c r="K142" t="s">
        <v>63</v>
      </c>
      <c r="L142">
        <v>1368</v>
      </c>
      <c r="N142">
        <v>1011</v>
      </c>
      <c r="O142" t="s">
        <v>59</v>
      </c>
      <c r="P142" t="s">
        <v>59</v>
      </c>
      <c r="Q142">
        <v>1</v>
      </c>
      <c r="X142">
        <v>0.37</v>
      </c>
      <c r="Y142">
        <v>0</v>
      </c>
      <c r="Z142">
        <v>643.29</v>
      </c>
      <c r="AA142">
        <v>722.05</v>
      </c>
      <c r="AB142">
        <v>0</v>
      </c>
      <c r="AC142">
        <v>0</v>
      </c>
      <c r="AD142">
        <v>1</v>
      </c>
      <c r="AE142">
        <v>0</v>
      </c>
      <c r="AF142" t="s">
        <v>401</v>
      </c>
      <c r="AG142">
        <v>0.46250000000000002</v>
      </c>
      <c r="AH142">
        <v>2</v>
      </c>
      <c r="AI142">
        <v>78397836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5">
      <c r="A143">
        <f>ROW(Source!A134)</f>
        <v>134</v>
      </c>
      <c r="B143">
        <v>78397847</v>
      </c>
      <c r="C143">
        <v>78397833</v>
      </c>
      <c r="D143">
        <v>77432088</v>
      </c>
      <c r="E143">
        <v>1</v>
      </c>
      <c r="F143">
        <v>1</v>
      </c>
      <c r="G143">
        <v>1</v>
      </c>
      <c r="H143">
        <v>2</v>
      </c>
      <c r="I143" t="s">
        <v>154</v>
      </c>
      <c r="J143" t="s">
        <v>666</v>
      </c>
      <c r="K143" t="s">
        <v>155</v>
      </c>
      <c r="L143">
        <v>1368</v>
      </c>
      <c r="N143">
        <v>1011</v>
      </c>
      <c r="O143" t="s">
        <v>59</v>
      </c>
      <c r="P143" t="s">
        <v>59</v>
      </c>
      <c r="Q143">
        <v>1</v>
      </c>
      <c r="X143">
        <v>1.18</v>
      </c>
      <c r="Y143">
        <v>0</v>
      </c>
      <c r="Z143">
        <v>21.39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401</v>
      </c>
      <c r="AG143">
        <v>1.4750000000000001</v>
      </c>
      <c r="AH143">
        <v>2</v>
      </c>
      <c r="AI143">
        <v>78397837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5">
      <c r="A144">
        <f>ROW(Source!A134)</f>
        <v>134</v>
      </c>
      <c r="B144">
        <v>78397848</v>
      </c>
      <c r="C144">
        <v>78397833</v>
      </c>
      <c r="D144">
        <v>77499974</v>
      </c>
      <c r="E144">
        <v>1</v>
      </c>
      <c r="F144">
        <v>1</v>
      </c>
      <c r="G144">
        <v>1</v>
      </c>
      <c r="H144">
        <v>3</v>
      </c>
      <c r="I144" t="s">
        <v>156</v>
      </c>
      <c r="J144" t="s">
        <v>667</v>
      </c>
      <c r="K144" t="s">
        <v>157</v>
      </c>
      <c r="L144">
        <v>1348</v>
      </c>
      <c r="N144">
        <v>1009</v>
      </c>
      <c r="O144" t="s">
        <v>87</v>
      </c>
      <c r="P144" t="s">
        <v>87</v>
      </c>
      <c r="Q144">
        <v>1000</v>
      </c>
      <c r="X144">
        <v>4.0000000000000003E-5</v>
      </c>
      <c r="Y144">
        <v>263215.45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332</v>
      </c>
      <c r="AG144">
        <v>4.0000000000000003E-5</v>
      </c>
      <c r="AH144">
        <v>2</v>
      </c>
      <c r="AI144">
        <v>78397838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5">
      <c r="A145">
        <f>ROW(Source!A134)</f>
        <v>134</v>
      </c>
      <c r="B145">
        <v>78397849</v>
      </c>
      <c r="C145">
        <v>78397833</v>
      </c>
      <c r="D145">
        <v>77506748</v>
      </c>
      <c r="E145">
        <v>1</v>
      </c>
      <c r="F145">
        <v>1</v>
      </c>
      <c r="G145">
        <v>1</v>
      </c>
      <c r="H145">
        <v>3</v>
      </c>
      <c r="I145" t="s">
        <v>158</v>
      </c>
      <c r="J145" t="s">
        <v>668</v>
      </c>
      <c r="K145" t="s">
        <v>159</v>
      </c>
      <c r="L145">
        <v>1348</v>
      </c>
      <c r="N145">
        <v>1009</v>
      </c>
      <c r="O145" t="s">
        <v>87</v>
      </c>
      <c r="P145" t="s">
        <v>87</v>
      </c>
      <c r="Q145">
        <v>1000</v>
      </c>
      <c r="X145">
        <v>1.09E-2</v>
      </c>
      <c r="Y145">
        <v>89073.2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332</v>
      </c>
      <c r="AG145">
        <v>1.09E-2</v>
      </c>
      <c r="AH145">
        <v>2</v>
      </c>
      <c r="AI145">
        <v>78397839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5">
      <c r="A146">
        <f>ROW(Source!A134)</f>
        <v>134</v>
      </c>
      <c r="B146">
        <v>78397850</v>
      </c>
      <c r="C146">
        <v>78397833</v>
      </c>
      <c r="D146">
        <v>77506800</v>
      </c>
      <c r="E146">
        <v>1</v>
      </c>
      <c r="F146">
        <v>1</v>
      </c>
      <c r="G146">
        <v>1</v>
      </c>
      <c r="H146">
        <v>3</v>
      </c>
      <c r="I146" t="s">
        <v>160</v>
      </c>
      <c r="J146" t="s">
        <v>669</v>
      </c>
      <c r="K146" t="s">
        <v>161</v>
      </c>
      <c r="L146">
        <v>1348</v>
      </c>
      <c r="N146">
        <v>1009</v>
      </c>
      <c r="O146" t="s">
        <v>87</v>
      </c>
      <c r="P146" t="s">
        <v>87</v>
      </c>
      <c r="Q146">
        <v>1000</v>
      </c>
      <c r="X146">
        <v>1.1000000000000001E-3</v>
      </c>
      <c r="Y146">
        <v>129575.7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332</v>
      </c>
      <c r="AG146">
        <v>1.1000000000000001E-3</v>
      </c>
      <c r="AH146">
        <v>2</v>
      </c>
      <c r="AI146">
        <v>78397840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5">
      <c r="A147">
        <f>ROW(Source!A134)</f>
        <v>134</v>
      </c>
      <c r="B147">
        <v>78397851</v>
      </c>
      <c r="C147">
        <v>78397833</v>
      </c>
      <c r="D147">
        <v>77506801</v>
      </c>
      <c r="E147">
        <v>1</v>
      </c>
      <c r="F147">
        <v>1</v>
      </c>
      <c r="G147">
        <v>1</v>
      </c>
      <c r="H147">
        <v>3</v>
      </c>
      <c r="I147" t="s">
        <v>162</v>
      </c>
      <c r="J147" t="s">
        <v>670</v>
      </c>
      <c r="K147" t="s">
        <v>163</v>
      </c>
      <c r="L147">
        <v>1348</v>
      </c>
      <c r="N147">
        <v>1009</v>
      </c>
      <c r="O147" t="s">
        <v>87</v>
      </c>
      <c r="P147" t="s">
        <v>87</v>
      </c>
      <c r="Q147">
        <v>1000</v>
      </c>
      <c r="X147">
        <v>4.0000000000000001E-3</v>
      </c>
      <c r="Y147">
        <v>87245.7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332</v>
      </c>
      <c r="AG147">
        <v>4.0000000000000001E-3</v>
      </c>
      <c r="AH147">
        <v>2</v>
      </c>
      <c r="AI147">
        <v>78397841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5">
      <c r="A148">
        <f>ROW(Source!A134)</f>
        <v>134</v>
      </c>
      <c r="B148">
        <v>78397852</v>
      </c>
      <c r="C148">
        <v>78397833</v>
      </c>
      <c r="D148">
        <v>77506958</v>
      </c>
      <c r="E148">
        <v>1</v>
      </c>
      <c r="F148">
        <v>1</v>
      </c>
      <c r="G148">
        <v>1</v>
      </c>
      <c r="H148">
        <v>3</v>
      </c>
      <c r="I148" t="s">
        <v>164</v>
      </c>
      <c r="J148" t="s">
        <v>671</v>
      </c>
      <c r="K148" t="s">
        <v>165</v>
      </c>
      <c r="L148">
        <v>1348</v>
      </c>
      <c r="N148">
        <v>1009</v>
      </c>
      <c r="O148" t="s">
        <v>87</v>
      </c>
      <c r="P148" t="s">
        <v>87</v>
      </c>
      <c r="Q148">
        <v>1000</v>
      </c>
      <c r="X148">
        <v>3.9E-2</v>
      </c>
      <c r="Y148">
        <v>75628.100000000006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332</v>
      </c>
      <c r="AG148">
        <v>3.9E-2</v>
      </c>
      <c r="AH148">
        <v>2</v>
      </c>
      <c r="AI148">
        <v>78397842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5">
      <c r="A149">
        <f>ROW(Source!A134)</f>
        <v>134</v>
      </c>
      <c r="B149">
        <v>78397853</v>
      </c>
      <c r="C149">
        <v>78397833</v>
      </c>
      <c r="D149">
        <v>77427420</v>
      </c>
      <c r="E149">
        <v>117</v>
      </c>
      <c r="F149">
        <v>1</v>
      </c>
      <c r="G149">
        <v>1</v>
      </c>
      <c r="H149">
        <v>3</v>
      </c>
      <c r="I149" t="s">
        <v>708</v>
      </c>
      <c r="J149" t="s">
        <v>332</v>
      </c>
      <c r="K149" t="s">
        <v>709</v>
      </c>
      <c r="L149">
        <v>1339</v>
      </c>
      <c r="N149">
        <v>1007</v>
      </c>
      <c r="O149" t="s">
        <v>104</v>
      </c>
      <c r="P149" t="s">
        <v>104</v>
      </c>
      <c r="Q149">
        <v>1</v>
      </c>
      <c r="X149">
        <v>1.032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332</v>
      </c>
      <c r="AG149">
        <v>1.032</v>
      </c>
      <c r="AH149">
        <v>3</v>
      </c>
      <c r="AI149">
        <v>-1</v>
      </c>
      <c r="AJ149" t="s">
        <v>332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5">
      <c r="A150">
        <f>ROW(Source!A136)</f>
        <v>136</v>
      </c>
      <c r="B150">
        <v>78397863</v>
      </c>
      <c r="C150">
        <v>78397857</v>
      </c>
      <c r="D150">
        <v>28074705</v>
      </c>
      <c r="E150">
        <v>117</v>
      </c>
      <c r="F150">
        <v>1</v>
      </c>
      <c r="G150">
        <v>1</v>
      </c>
      <c r="H150">
        <v>1</v>
      </c>
      <c r="I150" t="s">
        <v>53</v>
      </c>
      <c r="J150" t="s">
        <v>332</v>
      </c>
      <c r="K150" t="s">
        <v>54</v>
      </c>
      <c r="L150">
        <v>1191</v>
      </c>
      <c r="N150">
        <v>1013</v>
      </c>
      <c r="O150" t="s">
        <v>31</v>
      </c>
      <c r="P150" t="s">
        <v>31</v>
      </c>
      <c r="Q150">
        <v>1</v>
      </c>
      <c r="X150">
        <v>69.28</v>
      </c>
      <c r="Y150">
        <v>0</v>
      </c>
      <c r="Z150">
        <v>0</v>
      </c>
      <c r="AA150">
        <v>0</v>
      </c>
      <c r="AB150">
        <v>681.63</v>
      </c>
      <c r="AC150">
        <v>0</v>
      </c>
      <c r="AD150">
        <v>1</v>
      </c>
      <c r="AE150">
        <v>1</v>
      </c>
      <c r="AF150" t="s">
        <v>332</v>
      </c>
      <c r="AG150">
        <v>69.28</v>
      </c>
      <c r="AH150">
        <v>2</v>
      </c>
      <c r="AI150">
        <v>78397858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5">
      <c r="A151">
        <f>ROW(Source!A136)</f>
        <v>136</v>
      </c>
      <c r="B151">
        <v>78397864</v>
      </c>
      <c r="C151">
        <v>78397857</v>
      </c>
      <c r="D151">
        <v>28074654</v>
      </c>
      <c r="E151">
        <v>117</v>
      </c>
      <c r="F151">
        <v>1</v>
      </c>
      <c r="G151">
        <v>1</v>
      </c>
      <c r="H151">
        <v>1</v>
      </c>
      <c r="I151" t="s">
        <v>647</v>
      </c>
      <c r="J151" t="s">
        <v>332</v>
      </c>
      <c r="K151" t="s">
        <v>648</v>
      </c>
      <c r="L151">
        <v>1191</v>
      </c>
      <c r="N151">
        <v>1013</v>
      </c>
      <c r="O151" t="s">
        <v>31</v>
      </c>
      <c r="P151" t="s">
        <v>31</v>
      </c>
      <c r="Q151">
        <v>1</v>
      </c>
      <c r="X151">
        <v>0.02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2</v>
      </c>
      <c r="AF151" t="s">
        <v>332</v>
      </c>
      <c r="AG151">
        <v>0.02</v>
      </c>
      <c r="AH151">
        <v>2</v>
      </c>
      <c r="AI151">
        <v>78397859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5">
      <c r="A152">
        <f>ROW(Source!A136)</f>
        <v>136</v>
      </c>
      <c r="B152">
        <v>78397865</v>
      </c>
      <c r="C152">
        <v>78397857</v>
      </c>
      <c r="D152">
        <v>77430632</v>
      </c>
      <c r="E152">
        <v>1</v>
      </c>
      <c r="F152">
        <v>1</v>
      </c>
      <c r="G152">
        <v>1</v>
      </c>
      <c r="H152">
        <v>2</v>
      </c>
      <c r="I152" t="s">
        <v>57</v>
      </c>
      <c r="J152" t="s">
        <v>649</v>
      </c>
      <c r="K152" t="s">
        <v>58</v>
      </c>
      <c r="L152">
        <v>1368</v>
      </c>
      <c r="N152">
        <v>1011</v>
      </c>
      <c r="O152" t="s">
        <v>59</v>
      </c>
      <c r="P152" t="s">
        <v>59</v>
      </c>
      <c r="Q152">
        <v>1</v>
      </c>
      <c r="X152">
        <v>0.02</v>
      </c>
      <c r="Y152">
        <v>0</v>
      </c>
      <c r="Z152">
        <v>37.32</v>
      </c>
      <c r="AA152">
        <v>641.22</v>
      </c>
      <c r="AB152">
        <v>0</v>
      </c>
      <c r="AC152">
        <v>0</v>
      </c>
      <c r="AD152">
        <v>1</v>
      </c>
      <c r="AE152">
        <v>0</v>
      </c>
      <c r="AF152" t="s">
        <v>332</v>
      </c>
      <c r="AG152">
        <v>0.02</v>
      </c>
      <c r="AH152">
        <v>2</v>
      </c>
      <c r="AI152">
        <v>78397860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5">
      <c r="A153">
        <f>ROW(Source!A136)</f>
        <v>136</v>
      </c>
      <c r="B153">
        <v>78397866</v>
      </c>
      <c r="C153">
        <v>78397857</v>
      </c>
      <c r="D153">
        <v>77431339</v>
      </c>
      <c r="E153">
        <v>1</v>
      </c>
      <c r="F153">
        <v>1</v>
      </c>
      <c r="G153">
        <v>1</v>
      </c>
      <c r="H153">
        <v>2</v>
      </c>
      <c r="I153" t="s">
        <v>62</v>
      </c>
      <c r="J153" t="s">
        <v>650</v>
      </c>
      <c r="K153" t="s">
        <v>63</v>
      </c>
      <c r="L153">
        <v>1368</v>
      </c>
      <c r="N153">
        <v>1011</v>
      </c>
      <c r="O153" t="s">
        <v>59</v>
      </c>
      <c r="P153" t="s">
        <v>59</v>
      </c>
      <c r="Q153">
        <v>1</v>
      </c>
      <c r="X153">
        <v>2E-3</v>
      </c>
      <c r="Y153">
        <v>0</v>
      </c>
      <c r="Z153">
        <v>643.29</v>
      </c>
      <c r="AA153">
        <v>722.05</v>
      </c>
      <c r="AB153">
        <v>0</v>
      </c>
      <c r="AC153">
        <v>0</v>
      </c>
      <c r="AD153">
        <v>1</v>
      </c>
      <c r="AE153">
        <v>0</v>
      </c>
      <c r="AF153" t="s">
        <v>332</v>
      </c>
      <c r="AG153">
        <v>2E-3</v>
      </c>
      <c r="AH153">
        <v>2</v>
      </c>
      <c r="AI153">
        <v>78397861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5">
      <c r="A154">
        <f>ROW(Source!A136)</f>
        <v>136</v>
      </c>
      <c r="B154">
        <v>78397867</v>
      </c>
      <c r="C154">
        <v>78397857</v>
      </c>
      <c r="D154">
        <v>77508024</v>
      </c>
      <c r="E154">
        <v>1</v>
      </c>
      <c r="F154">
        <v>1</v>
      </c>
      <c r="G154">
        <v>1</v>
      </c>
      <c r="H154">
        <v>3</v>
      </c>
      <c r="I154" t="s">
        <v>67</v>
      </c>
      <c r="J154" t="s">
        <v>353</v>
      </c>
      <c r="K154" t="s">
        <v>68</v>
      </c>
      <c r="L154">
        <v>1301</v>
      </c>
      <c r="N154">
        <v>1003</v>
      </c>
      <c r="O154" t="s">
        <v>69</v>
      </c>
      <c r="P154" t="s">
        <v>69</v>
      </c>
      <c r="Q154">
        <v>1</v>
      </c>
      <c r="X154">
        <v>1050</v>
      </c>
      <c r="Y154">
        <v>69.989999999999995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332</v>
      </c>
      <c r="AG154">
        <v>1050</v>
      </c>
      <c r="AH154">
        <v>2</v>
      </c>
      <c r="AI154">
        <v>78397862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5">
      <c r="A155">
        <f>ROW(Source!A173)</f>
        <v>173</v>
      </c>
      <c r="B155">
        <v>78397935</v>
      </c>
      <c r="C155">
        <v>78397928</v>
      </c>
      <c r="D155">
        <v>77423688</v>
      </c>
      <c r="E155">
        <v>117</v>
      </c>
      <c r="F155">
        <v>1</v>
      </c>
      <c r="G155">
        <v>1</v>
      </c>
      <c r="H155">
        <v>1</v>
      </c>
      <c r="I155" t="s">
        <v>297</v>
      </c>
      <c r="J155" t="s">
        <v>332</v>
      </c>
      <c r="K155" t="s">
        <v>298</v>
      </c>
      <c r="L155">
        <v>1191</v>
      </c>
      <c r="N155">
        <v>1013</v>
      </c>
      <c r="O155" t="s">
        <v>31</v>
      </c>
      <c r="P155" t="s">
        <v>31</v>
      </c>
      <c r="Q155">
        <v>1</v>
      </c>
      <c r="X155">
        <v>1.03</v>
      </c>
      <c r="Y155">
        <v>0</v>
      </c>
      <c r="Z155">
        <v>0</v>
      </c>
      <c r="AA155">
        <v>0</v>
      </c>
      <c r="AB155">
        <v>538.85</v>
      </c>
      <c r="AC155">
        <v>0</v>
      </c>
      <c r="AD155">
        <v>1</v>
      </c>
      <c r="AE155">
        <v>1</v>
      </c>
      <c r="AF155" t="s">
        <v>332</v>
      </c>
      <c r="AG155">
        <v>1.03</v>
      </c>
      <c r="AH155">
        <v>2</v>
      </c>
      <c r="AI155">
        <v>78397929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5">
      <c r="A156">
        <f>ROW(Source!A173)</f>
        <v>173</v>
      </c>
      <c r="B156">
        <v>78397936</v>
      </c>
      <c r="C156">
        <v>78397928</v>
      </c>
      <c r="D156">
        <v>77500719</v>
      </c>
      <c r="E156">
        <v>1</v>
      </c>
      <c r="F156">
        <v>1</v>
      </c>
      <c r="G156">
        <v>1</v>
      </c>
      <c r="H156">
        <v>3</v>
      </c>
      <c r="I156" t="s">
        <v>299</v>
      </c>
      <c r="J156" t="s">
        <v>697</v>
      </c>
      <c r="K156" t="s">
        <v>300</v>
      </c>
      <c r="L156">
        <v>1425</v>
      </c>
      <c r="N156">
        <v>1013</v>
      </c>
      <c r="O156" t="s">
        <v>228</v>
      </c>
      <c r="P156" t="s">
        <v>228</v>
      </c>
      <c r="Q156">
        <v>1</v>
      </c>
      <c r="X156">
        <v>0.2</v>
      </c>
      <c r="Y156">
        <v>1828.55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332</v>
      </c>
      <c r="AG156">
        <v>0.2</v>
      </c>
      <c r="AH156">
        <v>2</v>
      </c>
      <c r="AI156">
        <v>78397930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21" x14ac:dyDescent="0.25">
      <c r="A1">
        <v>37</v>
      </c>
      <c r="B1">
        <v>1</v>
      </c>
      <c r="C1" t="s">
        <v>332</v>
      </c>
      <c r="D1" t="s">
        <v>332</v>
      </c>
      <c r="E1" t="s">
        <v>401</v>
      </c>
      <c r="F1" t="s">
        <v>401</v>
      </c>
      <c r="G1" t="s">
        <v>402</v>
      </c>
      <c r="H1" t="s">
        <v>332</v>
      </c>
      <c r="I1" t="s">
        <v>402</v>
      </c>
      <c r="J1" t="s">
        <v>401</v>
      </c>
      <c r="K1" t="s">
        <v>332</v>
      </c>
      <c r="L1" t="s">
        <v>389</v>
      </c>
      <c r="M1" t="s">
        <v>390</v>
      </c>
      <c r="N1" t="s">
        <v>332</v>
      </c>
      <c r="O1" t="s">
        <v>401</v>
      </c>
      <c r="P1" t="s">
        <v>332</v>
      </c>
      <c r="Q1" t="s">
        <v>332</v>
      </c>
      <c r="R1" t="s">
        <v>332</v>
      </c>
      <c r="S1" t="s">
        <v>137</v>
      </c>
      <c r="T1" t="s">
        <v>718</v>
      </c>
      <c r="U1" t="s">
        <v>719</v>
      </c>
    </row>
    <row r="2" spans="1:21" x14ac:dyDescent="0.25">
      <c r="A2">
        <v>39</v>
      </c>
      <c r="B2">
        <v>1</v>
      </c>
      <c r="C2" t="s">
        <v>332</v>
      </c>
      <c r="D2" t="s">
        <v>332</v>
      </c>
      <c r="E2" t="s">
        <v>401</v>
      </c>
      <c r="F2" t="s">
        <v>401</v>
      </c>
      <c r="G2" t="s">
        <v>402</v>
      </c>
      <c r="H2" t="s">
        <v>332</v>
      </c>
      <c r="I2" t="s">
        <v>402</v>
      </c>
      <c r="J2" t="s">
        <v>401</v>
      </c>
      <c r="K2" t="s">
        <v>332</v>
      </c>
      <c r="L2" t="s">
        <v>389</v>
      </c>
      <c r="M2" t="s">
        <v>390</v>
      </c>
      <c r="N2" t="s">
        <v>332</v>
      </c>
      <c r="O2" t="s">
        <v>401</v>
      </c>
      <c r="P2" t="s">
        <v>332</v>
      </c>
      <c r="Q2" t="s">
        <v>332</v>
      </c>
      <c r="R2" t="s">
        <v>332</v>
      </c>
      <c r="S2" t="s">
        <v>137</v>
      </c>
      <c r="T2" t="s">
        <v>718</v>
      </c>
      <c r="U2" t="s">
        <v>719</v>
      </c>
    </row>
    <row r="3" spans="1:21" x14ac:dyDescent="0.25">
      <c r="A3">
        <v>81</v>
      </c>
      <c r="B3">
        <v>1</v>
      </c>
      <c r="C3" t="s">
        <v>332</v>
      </c>
      <c r="D3" t="s">
        <v>332</v>
      </c>
      <c r="E3" t="s">
        <v>401</v>
      </c>
      <c r="F3" t="s">
        <v>401</v>
      </c>
      <c r="G3" t="s">
        <v>402</v>
      </c>
      <c r="H3" t="s">
        <v>332</v>
      </c>
      <c r="I3" t="s">
        <v>402</v>
      </c>
      <c r="J3" t="s">
        <v>401</v>
      </c>
      <c r="K3" t="s">
        <v>332</v>
      </c>
      <c r="L3" t="s">
        <v>389</v>
      </c>
      <c r="M3" t="s">
        <v>390</v>
      </c>
      <c r="N3" t="s">
        <v>332</v>
      </c>
      <c r="O3" t="s">
        <v>401</v>
      </c>
      <c r="P3" t="s">
        <v>332</v>
      </c>
      <c r="Q3" t="s">
        <v>332</v>
      </c>
      <c r="R3" t="s">
        <v>332</v>
      </c>
      <c r="S3" t="s">
        <v>137</v>
      </c>
      <c r="T3" t="s">
        <v>718</v>
      </c>
      <c r="U3" t="s">
        <v>719</v>
      </c>
    </row>
    <row r="4" spans="1:21" x14ac:dyDescent="0.25">
      <c r="A4">
        <v>84</v>
      </c>
      <c r="B4">
        <v>1</v>
      </c>
      <c r="C4" t="s">
        <v>332</v>
      </c>
      <c r="D4" t="s">
        <v>332</v>
      </c>
      <c r="E4" t="s">
        <v>401</v>
      </c>
      <c r="F4" t="s">
        <v>401</v>
      </c>
      <c r="G4" t="s">
        <v>402</v>
      </c>
      <c r="H4" t="s">
        <v>332</v>
      </c>
      <c r="I4" t="s">
        <v>402</v>
      </c>
      <c r="J4" t="s">
        <v>401</v>
      </c>
      <c r="K4" t="s">
        <v>332</v>
      </c>
      <c r="L4" t="s">
        <v>389</v>
      </c>
      <c r="M4" t="s">
        <v>390</v>
      </c>
      <c r="N4" t="s">
        <v>332</v>
      </c>
      <c r="O4" t="s">
        <v>401</v>
      </c>
      <c r="P4" t="s">
        <v>332</v>
      </c>
      <c r="Q4" t="s">
        <v>332</v>
      </c>
      <c r="R4" t="s">
        <v>332</v>
      </c>
      <c r="S4" t="s">
        <v>137</v>
      </c>
      <c r="T4" t="s">
        <v>718</v>
      </c>
      <c r="U4" t="s">
        <v>719</v>
      </c>
    </row>
    <row r="5" spans="1:21" x14ac:dyDescent="0.25">
      <c r="A5">
        <v>85</v>
      </c>
      <c r="B5">
        <v>1</v>
      </c>
      <c r="C5" t="s">
        <v>332</v>
      </c>
      <c r="D5" t="s">
        <v>332</v>
      </c>
      <c r="E5" t="s">
        <v>401</v>
      </c>
      <c r="F5" t="s">
        <v>401</v>
      </c>
      <c r="G5" t="s">
        <v>402</v>
      </c>
      <c r="H5" t="s">
        <v>332</v>
      </c>
      <c r="I5" t="s">
        <v>402</v>
      </c>
      <c r="J5" t="s">
        <v>401</v>
      </c>
      <c r="K5" t="s">
        <v>332</v>
      </c>
      <c r="L5" t="s">
        <v>389</v>
      </c>
      <c r="M5" t="s">
        <v>390</v>
      </c>
      <c r="N5" t="s">
        <v>332</v>
      </c>
      <c r="O5" t="s">
        <v>401</v>
      </c>
      <c r="P5" t="s">
        <v>332</v>
      </c>
      <c r="Q5" t="s">
        <v>332</v>
      </c>
      <c r="R5" t="s">
        <v>332</v>
      </c>
      <c r="S5" t="s">
        <v>137</v>
      </c>
      <c r="T5" t="s">
        <v>718</v>
      </c>
      <c r="U5" t="s">
        <v>719</v>
      </c>
    </row>
    <row r="6" spans="1:21" x14ac:dyDescent="0.25">
      <c r="A6">
        <v>132</v>
      </c>
      <c r="B6">
        <v>1</v>
      </c>
      <c r="C6" t="s">
        <v>332</v>
      </c>
      <c r="D6" t="s">
        <v>332</v>
      </c>
      <c r="E6" t="s">
        <v>401</v>
      </c>
      <c r="F6" t="s">
        <v>401</v>
      </c>
      <c r="G6" t="s">
        <v>402</v>
      </c>
      <c r="H6" t="s">
        <v>332</v>
      </c>
      <c r="I6" t="s">
        <v>402</v>
      </c>
      <c r="J6" t="s">
        <v>401</v>
      </c>
      <c r="K6" t="s">
        <v>332</v>
      </c>
      <c r="L6" t="s">
        <v>389</v>
      </c>
      <c r="M6" t="s">
        <v>390</v>
      </c>
      <c r="N6" t="s">
        <v>332</v>
      </c>
      <c r="O6" t="s">
        <v>401</v>
      </c>
      <c r="P6" t="s">
        <v>332</v>
      </c>
      <c r="Q6" t="s">
        <v>332</v>
      </c>
      <c r="R6" t="s">
        <v>332</v>
      </c>
      <c r="S6" t="s">
        <v>137</v>
      </c>
      <c r="T6" t="s">
        <v>718</v>
      </c>
      <c r="U6" t="s">
        <v>719</v>
      </c>
    </row>
    <row r="7" spans="1:21" x14ac:dyDescent="0.25">
      <c r="A7">
        <v>134</v>
      </c>
      <c r="B7">
        <v>1</v>
      </c>
      <c r="C7" t="s">
        <v>332</v>
      </c>
      <c r="D7" t="s">
        <v>332</v>
      </c>
      <c r="E7" t="s">
        <v>401</v>
      </c>
      <c r="F7" t="s">
        <v>401</v>
      </c>
      <c r="G7" t="s">
        <v>402</v>
      </c>
      <c r="H7" t="s">
        <v>332</v>
      </c>
      <c r="I7" t="s">
        <v>402</v>
      </c>
      <c r="J7" t="s">
        <v>401</v>
      </c>
      <c r="K7" t="s">
        <v>332</v>
      </c>
      <c r="L7" t="s">
        <v>389</v>
      </c>
      <c r="M7" t="s">
        <v>390</v>
      </c>
      <c r="N7" t="s">
        <v>332</v>
      </c>
      <c r="O7" t="s">
        <v>401</v>
      </c>
      <c r="P7" t="s">
        <v>332</v>
      </c>
      <c r="Q7" t="s">
        <v>332</v>
      </c>
      <c r="R7" t="s">
        <v>332</v>
      </c>
      <c r="S7" t="s">
        <v>137</v>
      </c>
      <c r="T7" t="s">
        <v>718</v>
      </c>
      <c r="U7" t="s">
        <v>719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03" x14ac:dyDescent="0.25">
      <c r="A1">
        <v>0</v>
      </c>
      <c r="B1" t="s">
        <v>329</v>
      </c>
      <c r="D1" t="s">
        <v>330</v>
      </c>
      <c r="F1">
        <v>0</v>
      </c>
      <c r="G1">
        <v>0</v>
      </c>
      <c r="H1">
        <v>0</v>
      </c>
      <c r="I1" t="s">
        <v>331</v>
      </c>
      <c r="J1" t="s">
        <v>332</v>
      </c>
      <c r="K1">
        <v>1</v>
      </c>
      <c r="L1">
        <v>72597</v>
      </c>
      <c r="M1">
        <v>63736869</v>
      </c>
      <c r="N1">
        <v>12</v>
      </c>
      <c r="O1">
        <v>0</v>
      </c>
      <c r="P1">
        <v>0</v>
      </c>
      <c r="Q1">
        <v>3</v>
      </c>
    </row>
    <row r="12" spans="1:103" x14ac:dyDescent="0.25">
      <c r="F12" t="str">
        <f>Source!F12</f>
        <v/>
      </c>
      <c r="G12" t="str">
        <f>Source!G12</f>
        <v>Замена элементов систем водоснабжения, отопления и канализации с последующими ремонтно-восстановительными работами по адресу:г. Москва, ул.Ильинка, д. 9, стр.1; ул.Ильинка д. 7; ул. Ильинка д. 10/11, стр.1; Биржевая площадь д.1</v>
      </c>
      <c r="AB12" t="s">
        <v>332</v>
      </c>
      <c r="AC12" t="s">
        <v>332</v>
      </c>
      <c r="AD12" t="s">
        <v>332</v>
      </c>
      <c r="AE12" t="s">
        <v>332</v>
      </c>
      <c r="AF12" t="s">
        <v>332</v>
      </c>
      <c r="AG12" t="s">
        <v>332</v>
      </c>
      <c r="AH12" t="s">
        <v>332</v>
      </c>
      <c r="AI12" t="s">
        <v>332</v>
      </c>
      <c r="AJ12">
        <v>0</v>
      </c>
      <c r="AK12" t="s">
        <v>332</v>
      </c>
      <c r="AL12" t="s">
        <v>332</v>
      </c>
      <c r="AM12" t="s">
        <v>332</v>
      </c>
      <c r="CY12">
        <v>0</v>
      </c>
    </row>
  </sheetData>
  <printOptions gridLines="1"/>
  <pageMargins left="0.75" right="0.75" top="1" bottom="1" header="0.5" footer="0.5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Смета по ФСНБ 421+557прРИМ</vt:lpstr>
      <vt:lpstr>Source</vt:lpstr>
      <vt:lpstr>SourceObSm</vt:lpstr>
      <vt:lpstr>SmtRes</vt:lpstr>
      <vt:lpstr>EtalonRes</vt:lpstr>
      <vt:lpstr>SrcPoprs</vt:lpstr>
      <vt:lpstr>SrcKA</vt:lpstr>
      <vt:lpstr>'Смета по ФСНБ 421+557прРИМ'!Заголовки_для_печати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Листикова Наталья Михайловна</dc:creator>
  <cp:lastModifiedBy>Листикова Наталья Михайловна</cp:lastModifiedBy>
  <dcterms:created xsi:type="dcterms:W3CDTF">2026-05-19T10:22:00Z</dcterms:created>
  <dcterms:modified xsi:type="dcterms:W3CDTF">2026-07-01T07:16:32Z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6438D2DF8EA54F8CA5AC97C1C0E5004F_12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