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70"/>
  </bookViews>
  <sheets>
    <sheet name="Смета по ФСНБ 421+557прРИМ" sheetId="7" r:id="rId1"/>
    <sheet name="Source" sheetId="1" r:id="rId2"/>
    <sheet name="SourceObSm" sheetId="2" r:id="rId3"/>
    <sheet name="SmtRes" sheetId="3" r:id="rId4"/>
    <sheet name="EtalonRes" sheetId="4" r:id="rId5"/>
    <sheet name="SrcPoprs" sheetId="5" r:id="rId6"/>
    <sheet name="SrcKA" sheetId="6" r:id="rId7"/>
  </sheets>
  <definedNames>
    <definedName name="_xlnm.Print_Titles" localSheetId="0">'Смета по ФСНБ 421+557прРИМ'!$51:$51</definedName>
    <definedName name="_xlnm.Print_Area" localSheetId="0">'Смета по ФСНБ 421+557прРИМ'!$A$1:$L$343</definedName>
  </definedNames>
  <calcPr calcId="124519" iterate="1"/>
</workbook>
</file>

<file path=xl/calcChain.xml><?xml version="1.0" encoding="utf-8"?>
<calcChain xmlns="http://schemas.openxmlformats.org/spreadsheetml/2006/main">
  <c r="A25" i="7"/>
  <c r="L332"/>
  <c r="L331"/>
  <c r="L328"/>
  <c r="L327"/>
  <c r="L325" s="1"/>
  <c r="L320"/>
  <c r="L316"/>
  <c r="L302"/>
  <c r="L301"/>
  <c r="L300"/>
  <c r="L299"/>
  <c r="L298"/>
  <c r="L297"/>
  <c r="L294"/>
  <c r="L293"/>
  <c r="L291"/>
  <c r="L288"/>
  <c r="L283"/>
  <c r="L282"/>
  <c r="L281"/>
  <c r="L276"/>
  <c r="L275"/>
  <c r="L271"/>
  <c r="L270"/>
  <c r="L269"/>
  <c r="L268"/>
  <c r="L267"/>
  <c r="L266"/>
  <c r="L263"/>
  <c r="L262"/>
  <c r="L260"/>
  <c r="L258" s="1"/>
  <c r="L257"/>
  <c r="L247"/>
  <c r="L243"/>
  <c r="G228"/>
  <c r="F228"/>
  <c r="E228"/>
  <c r="G227"/>
  <c r="F227"/>
  <c r="E227"/>
  <c r="I225"/>
  <c r="H225"/>
  <c r="E225"/>
  <c r="D225"/>
  <c r="C225"/>
  <c r="B225"/>
  <c r="I223"/>
  <c r="I222"/>
  <c r="J220"/>
  <c r="F220"/>
  <c r="E220"/>
  <c r="F219"/>
  <c r="I218"/>
  <c r="F218"/>
  <c r="J217"/>
  <c r="F217"/>
  <c r="E217"/>
  <c r="F216"/>
  <c r="F213"/>
  <c r="D207"/>
  <c r="C207"/>
  <c r="AE206"/>
  <c r="AD206"/>
  <c r="G205"/>
  <c r="F205"/>
  <c r="E205"/>
  <c r="G204"/>
  <c r="F204"/>
  <c r="E204"/>
  <c r="I202"/>
  <c r="H202"/>
  <c r="E202"/>
  <c r="D202"/>
  <c r="C202"/>
  <c r="B202"/>
  <c r="I200"/>
  <c r="J198"/>
  <c r="F198"/>
  <c r="E198"/>
  <c r="F197"/>
  <c r="J196"/>
  <c r="F196"/>
  <c r="E196"/>
  <c r="F195"/>
  <c r="F192"/>
  <c r="E187"/>
  <c r="G187"/>
  <c r="D187"/>
  <c r="C187"/>
  <c r="AW186"/>
  <c r="G185"/>
  <c r="F185"/>
  <c r="E185"/>
  <c r="G184"/>
  <c r="F184"/>
  <c r="E184"/>
  <c r="I182"/>
  <c r="H182"/>
  <c r="E182"/>
  <c r="D182"/>
  <c r="C182"/>
  <c r="B182"/>
  <c r="J180"/>
  <c r="F180"/>
  <c r="E180"/>
  <c r="F179"/>
  <c r="F176"/>
  <c r="D170"/>
  <c r="C170"/>
  <c r="G168"/>
  <c r="F168"/>
  <c r="E168"/>
  <c r="G167"/>
  <c r="F167"/>
  <c r="E167"/>
  <c r="I165"/>
  <c r="H165"/>
  <c r="E165"/>
  <c r="D165"/>
  <c r="C165"/>
  <c r="B165"/>
  <c r="I163"/>
  <c r="J161"/>
  <c r="F161"/>
  <c r="E161"/>
  <c r="F160"/>
  <c r="J159"/>
  <c r="F159"/>
  <c r="E159"/>
  <c r="I158"/>
  <c r="F158"/>
  <c r="J157"/>
  <c r="F157"/>
  <c r="E157"/>
  <c r="F156"/>
  <c r="J155"/>
  <c r="F155"/>
  <c r="E155"/>
  <c r="I154"/>
  <c r="F154"/>
  <c r="F151"/>
  <c r="D145"/>
  <c r="C145"/>
  <c r="G143"/>
  <c r="F143"/>
  <c r="E143"/>
  <c r="G142"/>
  <c r="F142"/>
  <c r="E142"/>
  <c r="I140"/>
  <c r="H140"/>
  <c r="E140"/>
  <c r="D140"/>
  <c r="C140"/>
  <c r="B140"/>
  <c r="I139"/>
  <c r="H139"/>
  <c r="J139" s="1"/>
  <c r="E139"/>
  <c r="D139"/>
  <c r="C139"/>
  <c r="B139"/>
  <c r="I137"/>
  <c r="I136"/>
  <c r="J134"/>
  <c r="F134"/>
  <c r="E134"/>
  <c r="F133"/>
  <c r="I132"/>
  <c r="F132"/>
  <c r="F129"/>
  <c r="D123"/>
  <c r="C123"/>
  <c r="G121"/>
  <c r="F121"/>
  <c r="E121"/>
  <c r="G120"/>
  <c r="F120"/>
  <c r="E120"/>
  <c r="J118"/>
  <c r="E118"/>
  <c r="D118"/>
  <c r="C118"/>
  <c r="B118"/>
  <c r="I116"/>
  <c r="L112"/>
  <c r="AT122" s="1"/>
  <c r="F114"/>
  <c r="I113"/>
  <c r="F113"/>
  <c r="F110"/>
  <c r="D106"/>
  <c r="C106"/>
  <c r="AW105"/>
  <c r="AT105"/>
  <c r="AO105"/>
  <c r="G104"/>
  <c r="E104"/>
  <c r="G103"/>
  <c r="E103"/>
  <c r="B97"/>
  <c r="D96"/>
  <c r="C96"/>
  <c r="AW95"/>
  <c r="G94"/>
  <c r="E94"/>
  <c r="G93"/>
  <c r="E93"/>
  <c r="I90"/>
  <c r="J89"/>
  <c r="E89"/>
  <c r="D81"/>
  <c r="C81"/>
  <c r="AU80"/>
  <c r="AS80"/>
  <c r="AP80"/>
  <c r="AE80"/>
  <c r="AD80"/>
  <c r="J79"/>
  <c r="E79"/>
  <c r="G79"/>
  <c r="D79"/>
  <c r="C79"/>
  <c r="G77"/>
  <c r="E77"/>
  <c r="G76"/>
  <c r="E76"/>
  <c r="I73"/>
  <c r="J71"/>
  <c r="E71"/>
  <c r="J69"/>
  <c r="E69"/>
  <c r="I68"/>
  <c r="B62"/>
  <c r="D61"/>
  <c r="C61"/>
  <c r="AW60"/>
  <c r="AT60"/>
  <c r="AO60"/>
  <c r="G59"/>
  <c r="E59"/>
  <c r="G58"/>
  <c r="E58"/>
  <c r="D52"/>
  <c r="C52"/>
  <c r="A27"/>
  <c r="F16"/>
  <c r="F14"/>
  <c r="CO6"/>
  <c r="F6"/>
  <c r="A1" i="4"/>
  <c r="A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1" i="3"/>
  <c r="Y1"/>
  <c r="CY1"/>
  <c r="CZ1"/>
  <c r="J55" i="7" s="1"/>
  <c r="DA1" i="3"/>
  <c r="DB1"/>
  <c r="DC1"/>
  <c r="A2"/>
  <c r="Y2"/>
  <c r="CY2"/>
  <c r="CZ2"/>
  <c r="J65" i="7" s="1"/>
  <c r="DA2" i="3"/>
  <c r="DB2"/>
  <c r="DC2"/>
  <c r="A3"/>
  <c r="Y3"/>
  <c r="CY3"/>
  <c r="CZ3"/>
  <c r="DA3"/>
  <c r="DB3"/>
  <c r="DC3"/>
  <c r="A4"/>
  <c r="Y4"/>
  <c r="CY4"/>
  <c r="CZ4"/>
  <c r="H68" i="7" s="1"/>
  <c r="DA4" i="3"/>
  <c r="DB4"/>
  <c r="DC4"/>
  <c r="A5"/>
  <c r="Y5"/>
  <c r="CY5"/>
  <c r="CZ5"/>
  <c r="J70" i="7" s="1"/>
  <c r="DA5" i="3"/>
  <c r="DB5"/>
  <c r="DC5"/>
  <c r="A6"/>
  <c r="Y6"/>
  <c r="CY6"/>
  <c r="CZ6"/>
  <c r="H73" i="7" s="1"/>
  <c r="J73" s="1"/>
  <c r="DA6" i="3"/>
  <c r="DB6"/>
  <c r="DC6"/>
  <c r="A7"/>
  <c r="Y7"/>
  <c r="CY7"/>
  <c r="CZ7"/>
  <c r="J84" i="7" s="1"/>
  <c r="DA7" i="3"/>
  <c r="DB7"/>
  <c r="DC7"/>
  <c r="A8"/>
  <c r="Y8"/>
  <c r="CY8"/>
  <c r="CZ8"/>
  <c r="J85" i="7" s="1"/>
  <c r="DA8" i="3"/>
  <c r="DB8"/>
  <c r="DC8"/>
  <c r="A9"/>
  <c r="Y9"/>
  <c r="CY9"/>
  <c r="CZ9"/>
  <c r="DA9"/>
  <c r="DB9"/>
  <c r="DC9"/>
  <c r="A10"/>
  <c r="Y10"/>
  <c r="CY10"/>
  <c r="CZ10"/>
  <c r="J88" i="7" s="1"/>
  <c r="DA10" i="3"/>
  <c r="DB10"/>
  <c r="DC10"/>
  <c r="A11"/>
  <c r="Y11"/>
  <c r="CY11"/>
  <c r="CZ11"/>
  <c r="H90" i="7" s="1"/>
  <c r="DA11" i="3"/>
  <c r="DB11"/>
  <c r="DC11"/>
  <c r="A12"/>
  <c r="Y12"/>
  <c r="CY12"/>
  <c r="CZ12"/>
  <c r="J100" i="7" s="1"/>
  <c r="DA12" i="3"/>
  <c r="DB12"/>
  <c r="DC12"/>
  <c r="A13"/>
  <c r="Y13"/>
  <c r="CY13"/>
  <c r="CZ13"/>
  <c r="J110" i="7" s="1"/>
  <c r="DA13" i="3"/>
  <c r="DB13"/>
  <c r="DC13"/>
  <c r="A14"/>
  <c r="Y14"/>
  <c r="CY14"/>
  <c r="CZ14"/>
  <c r="H113" i="7" s="1"/>
  <c r="DA14" i="3"/>
  <c r="DB14"/>
  <c r="DC14"/>
  <c r="A15"/>
  <c r="Y15"/>
  <c r="CY15"/>
  <c r="CZ15"/>
  <c r="J114" i="7" s="1"/>
  <c r="DA15" i="3"/>
  <c r="DB15"/>
  <c r="DC15"/>
  <c r="A16"/>
  <c r="Y16"/>
  <c r="CY16"/>
  <c r="CZ16"/>
  <c r="H116" i="7" s="1"/>
  <c r="J116" s="1"/>
  <c r="DA16" i="3"/>
  <c r="DB16"/>
  <c r="DC16"/>
  <c r="A17"/>
  <c r="Y17"/>
  <c r="CY17"/>
  <c r="CZ17"/>
  <c r="DA17"/>
  <c r="DB17"/>
  <c r="DC17"/>
  <c r="A18"/>
  <c r="Y18"/>
  <c r="CY18"/>
  <c r="CZ18"/>
  <c r="J129" i="7" s="1"/>
  <c r="DA18" i="3"/>
  <c r="DB18"/>
  <c r="DC18"/>
  <c r="A19"/>
  <c r="Y19"/>
  <c r="CY19"/>
  <c r="CZ19"/>
  <c r="DA19"/>
  <c r="DB19"/>
  <c r="DC19"/>
  <c r="A20"/>
  <c r="Y20"/>
  <c r="CY20"/>
  <c r="CZ20"/>
  <c r="H132" i="7" s="1"/>
  <c r="DA20" i="3"/>
  <c r="DB20"/>
  <c r="DC20"/>
  <c r="A21"/>
  <c r="Y21"/>
  <c r="CY21"/>
  <c r="CZ21"/>
  <c r="J133" i="7" s="1"/>
  <c r="DA21" i="3"/>
  <c r="DB21"/>
  <c r="DC21"/>
  <c r="A22"/>
  <c r="Y22"/>
  <c r="CY22"/>
  <c r="CZ22"/>
  <c r="DA22"/>
  <c r="DB22"/>
  <c r="DC22"/>
  <c r="A23"/>
  <c r="Y23"/>
  <c r="CY23"/>
  <c r="CZ23"/>
  <c r="DA23"/>
  <c r="DB23"/>
  <c r="DC23"/>
  <c r="A24"/>
  <c r="Y24"/>
  <c r="CY24"/>
  <c r="CZ24"/>
  <c r="H136" i="7" s="1"/>
  <c r="DA24" i="3"/>
  <c r="DB24"/>
  <c r="DC24"/>
  <c r="A25"/>
  <c r="Y25"/>
  <c r="CY25"/>
  <c r="CZ25"/>
  <c r="H137" i="7" s="1"/>
  <c r="J137" s="1"/>
  <c r="DA25" i="3"/>
  <c r="DB25"/>
  <c r="DC25"/>
  <c r="A26"/>
  <c r="Y26"/>
  <c r="CY26"/>
  <c r="CZ26"/>
  <c r="J151" i="7" s="1"/>
  <c r="DA26" i="3"/>
  <c r="DB26"/>
  <c r="DC26"/>
  <c r="A27"/>
  <c r="Y27"/>
  <c r="CY27"/>
  <c r="CZ27"/>
  <c r="DA27"/>
  <c r="DB27"/>
  <c r="DC27"/>
  <c r="A28"/>
  <c r="Y28"/>
  <c r="CY28"/>
  <c r="CZ28"/>
  <c r="H154" i="7" s="1"/>
  <c r="DA28" i="3"/>
  <c r="DB28"/>
  <c r="DC28"/>
  <c r="A29"/>
  <c r="Y29"/>
  <c r="CY29"/>
  <c r="CZ29"/>
  <c r="J156" i="7" s="1"/>
  <c r="DA29" i="3"/>
  <c r="DB29"/>
  <c r="DC29"/>
  <c r="A30"/>
  <c r="Y30"/>
  <c r="CY30"/>
  <c r="CZ30"/>
  <c r="H158" i="7" s="1"/>
  <c r="DA30" i="3"/>
  <c r="DB30"/>
  <c r="DC30"/>
  <c r="A31"/>
  <c r="Y31"/>
  <c r="CY31"/>
  <c r="CZ31"/>
  <c r="J160" i="7" s="1"/>
  <c r="DA31" i="3"/>
  <c r="DB31"/>
  <c r="DC31"/>
  <c r="A32"/>
  <c r="Y32"/>
  <c r="CY32"/>
  <c r="CZ32"/>
  <c r="H163" i="7" s="1"/>
  <c r="J163" s="1"/>
  <c r="DA32" i="3"/>
  <c r="DB32"/>
  <c r="DC32"/>
  <c r="A33"/>
  <c r="Y33"/>
  <c r="CY33"/>
  <c r="CZ33"/>
  <c r="DA33"/>
  <c r="DB33"/>
  <c r="DC33"/>
  <c r="A34"/>
  <c r="Y34"/>
  <c r="CY34"/>
  <c r="CZ34"/>
  <c r="J176" i="7" s="1"/>
  <c r="DA34" i="3"/>
  <c r="DB34"/>
  <c r="DC34"/>
  <c r="A35"/>
  <c r="Y35"/>
  <c r="CY35"/>
  <c r="CZ35"/>
  <c r="DA35"/>
  <c r="DB35"/>
  <c r="DC35"/>
  <c r="A36"/>
  <c r="Y36"/>
  <c r="CY36"/>
  <c r="CZ36"/>
  <c r="J179" i="7" s="1"/>
  <c r="DA36" i="3"/>
  <c r="DB36"/>
  <c r="DC36"/>
  <c r="A37"/>
  <c r="Y37"/>
  <c r="CY37"/>
  <c r="CZ37"/>
  <c r="DA37"/>
  <c r="DB37"/>
  <c r="DC37"/>
  <c r="A38"/>
  <c r="Y38"/>
  <c r="CX38" s="1"/>
  <c r="CU38"/>
  <c r="CV38"/>
  <c r="CY38"/>
  <c r="CZ38"/>
  <c r="J192" i="7" s="1"/>
  <c r="DA38" i="3"/>
  <c r="DB38"/>
  <c r="DC38"/>
  <c r="A39"/>
  <c r="Y39"/>
  <c r="CX39" s="1"/>
  <c r="CY39"/>
  <c r="CZ39"/>
  <c r="DA39"/>
  <c r="DB39"/>
  <c r="DC39"/>
  <c r="A40"/>
  <c r="Y40"/>
  <c r="CW40" s="1"/>
  <c r="CX40"/>
  <c r="G195" i="7" s="1"/>
  <c r="CY40" i="3"/>
  <c r="CZ40"/>
  <c r="J195" i="7" s="1"/>
  <c r="DA40" i="3"/>
  <c r="DB40"/>
  <c r="DC40"/>
  <c r="DF40"/>
  <c r="DH40"/>
  <c r="L196" i="7" s="1"/>
  <c r="A41" i="3"/>
  <c r="Y41"/>
  <c r="CW41"/>
  <c r="CX41"/>
  <c r="DG41" s="1"/>
  <c r="CY41"/>
  <c r="CZ41"/>
  <c r="J197" i="7" s="1"/>
  <c r="DA41" i="3"/>
  <c r="DB41"/>
  <c r="DC41"/>
  <c r="DF41"/>
  <c r="DH41"/>
  <c r="L198" i="7" s="1"/>
  <c r="A42" i="3"/>
  <c r="Y42"/>
  <c r="CX42" s="1"/>
  <c r="CY42"/>
  <c r="CZ42"/>
  <c r="DA42"/>
  <c r="DB42"/>
  <c r="DC42"/>
  <c r="A43"/>
  <c r="Y43"/>
  <c r="CX43" s="1"/>
  <c r="G200" i="7" s="1"/>
  <c r="CY43" i="3"/>
  <c r="CZ43"/>
  <c r="H200" i="7" s="1"/>
  <c r="DA43" i="3"/>
  <c r="DB43"/>
  <c r="DC43"/>
  <c r="A44"/>
  <c r="Y44"/>
  <c r="CY44"/>
  <c r="CZ44"/>
  <c r="J213" i="7" s="1"/>
  <c r="DA44" i="3"/>
  <c r="DB44"/>
  <c r="DC44"/>
  <c r="A45"/>
  <c r="Y45"/>
  <c r="CY45"/>
  <c r="CZ45"/>
  <c r="DA45"/>
  <c r="DB45"/>
  <c r="DC45"/>
  <c r="A46"/>
  <c r="Y46"/>
  <c r="CY46"/>
  <c r="CZ46"/>
  <c r="J216" i="7" s="1"/>
  <c r="DA46" i="3"/>
  <c r="DB46"/>
  <c r="DC46"/>
  <c r="A47"/>
  <c r="Y47"/>
  <c r="CY47"/>
  <c r="CZ47"/>
  <c r="H218" i="7" s="1"/>
  <c r="DA47" i="3"/>
  <c r="DB47"/>
  <c r="DC47"/>
  <c r="A48"/>
  <c r="Y48"/>
  <c r="CY48"/>
  <c r="CZ48"/>
  <c r="J219" i="7" s="1"/>
  <c r="DA48" i="3"/>
  <c r="DB48"/>
  <c r="DC48"/>
  <c r="A49"/>
  <c r="Y49"/>
  <c r="CY49"/>
  <c r="CZ49"/>
  <c r="H222" i="7" s="1"/>
  <c r="J222" s="1"/>
  <c r="DA49" i="3"/>
  <c r="DB49"/>
  <c r="DC49"/>
  <c r="A50"/>
  <c r="Y50"/>
  <c r="CY50"/>
  <c r="CZ50"/>
  <c r="H223" i="7" s="1"/>
  <c r="J223" s="1"/>
  <c r="DA50" i="3"/>
  <c r="DB50"/>
  <c r="DC50"/>
  <c r="A51"/>
  <c r="Y51"/>
  <c r="CY51"/>
  <c r="CZ51"/>
  <c r="DA51"/>
  <c r="DB51"/>
  <c r="DC51"/>
  <c r="D12" i="1"/>
  <c r="E18"/>
  <c r="Z18"/>
  <c r="AA18"/>
  <c r="AB18"/>
  <c r="AC18"/>
  <c r="AD18"/>
  <c r="AE18"/>
  <c r="AF18"/>
  <c r="AG18"/>
  <c r="AH18"/>
  <c r="AI18"/>
  <c r="AJ18"/>
  <c r="AK18"/>
  <c r="AL18"/>
  <c r="AM18"/>
  <c r="AN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CK18"/>
  <c r="CL18"/>
  <c r="CM18"/>
  <c r="CN18"/>
  <c r="CO18"/>
  <c r="CP18"/>
  <c r="CQ18"/>
  <c r="CR18"/>
  <c r="CS18"/>
  <c r="CT18"/>
  <c r="CU18"/>
  <c r="CV18"/>
  <c r="CW18"/>
  <c r="CX18"/>
  <c r="CY18"/>
  <c r="CZ18"/>
  <c r="DA18"/>
  <c r="DB18"/>
  <c r="DC18"/>
  <c r="DD18"/>
  <c r="DE18"/>
  <c r="DF18"/>
  <c r="DG18"/>
  <c r="DH18"/>
  <c r="DI18"/>
  <c r="DJ18"/>
  <c r="DK18"/>
  <c r="DL18"/>
  <c r="DM18"/>
  <c r="DN18"/>
  <c r="DO18"/>
  <c r="DP18"/>
  <c r="DQ18"/>
  <c r="DR18"/>
  <c r="DS18"/>
  <c r="DT18"/>
  <c r="DU18"/>
  <c r="DV18"/>
  <c r="DW18"/>
  <c r="DX18"/>
  <c r="DY18"/>
  <c r="DZ18"/>
  <c r="EA18"/>
  <c r="EB18"/>
  <c r="EC18"/>
  <c r="ED18"/>
  <c r="EE18"/>
  <c r="EF18"/>
  <c r="EG18"/>
  <c r="EH18"/>
  <c r="EI18"/>
  <c r="EJ18"/>
  <c r="EK18"/>
  <c r="EL18"/>
  <c r="EM18"/>
  <c r="EN18"/>
  <c r="EO18"/>
  <c r="EP18"/>
  <c r="EQ18"/>
  <c r="ER18"/>
  <c r="ES18"/>
  <c r="ET18"/>
  <c r="EU18"/>
  <c r="EV18"/>
  <c r="EW18"/>
  <c r="EX18"/>
  <c r="EY18"/>
  <c r="EZ18"/>
  <c r="FA18"/>
  <c r="FB18"/>
  <c r="FC18"/>
  <c r="FD18"/>
  <c r="FE18"/>
  <c r="FF18"/>
  <c r="FG18"/>
  <c r="FH18"/>
  <c r="FI18"/>
  <c r="FJ18"/>
  <c r="FK18"/>
  <c r="FL18"/>
  <c r="FM18"/>
  <c r="FN18"/>
  <c r="FO18"/>
  <c r="FP18"/>
  <c r="FQ18"/>
  <c r="FR18"/>
  <c r="FS18"/>
  <c r="FT18"/>
  <c r="FU18"/>
  <c r="FV18"/>
  <c r="FW18"/>
  <c r="FX18"/>
  <c r="FY18"/>
  <c r="FZ18"/>
  <c r="GA18"/>
  <c r="GB18"/>
  <c r="GC18"/>
  <c r="GD18"/>
  <c r="GE18"/>
  <c r="GF18"/>
  <c r="GG18"/>
  <c r="GH18"/>
  <c r="GI18"/>
  <c r="GJ18"/>
  <c r="GK18"/>
  <c r="GL18"/>
  <c r="GM18"/>
  <c r="GN18"/>
  <c r="GO18"/>
  <c r="GP18"/>
  <c r="GQ18"/>
  <c r="GR18"/>
  <c r="GS18"/>
  <c r="GT18"/>
  <c r="GU18"/>
  <c r="GV18"/>
  <c r="GW18"/>
  <c r="GX18"/>
  <c r="D20"/>
  <c r="E22"/>
  <c r="Z22"/>
  <c r="AA22"/>
  <c r="AM22"/>
  <c r="AN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CN22"/>
  <c r="CO22"/>
  <c r="CP22"/>
  <c r="CQ22"/>
  <c r="CR22"/>
  <c r="CS22"/>
  <c r="CT22"/>
  <c r="CU22"/>
  <c r="CV22"/>
  <c r="CW22"/>
  <c r="CX22"/>
  <c r="CY22"/>
  <c r="CZ22"/>
  <c r="DA22"/>
  <c r="DB22"/>
  <c r="DC22"/>
  <c r="DD22"/>
  <c r="DE22"/>
  <c r="DF22"/>
  <c r="DG22"/>
  <c r="DH22"/>
  <c r="DI22"/>
  <c r="DJ22"/>
  <c r="DK22"/>
  <c r="DL22"/>
  <c r="DM22"/>
  <c r="DN22"/>
  <c r="DO22"/>
  <c r="DP22"/>
  <c r="DQ22"/>
  <c r="DR22"/>
  <c r="DS22"/>
  <c r="DT22"/>
  <c r="DU22"/>
  <c r="DV22"/>
  <c r="DW22"/>
  <c r="DX22"/>
  <c r="DY22"/>
  <c r="DZ22"/>
  <c r="EA22"/>
  <c r="EB22"/>
  <c r="EC22"/>
  <c r="ED22"/>
  <c r="EE22"/>
  <c r="EF22"/>
  <c r="EG22"/>
  <c r="EH22"/>
  <c r="EI22"/>
  <c r="EJ22"/>
  <c r="EK22"/>
  <c r="EL22"/>
  <c r="EM22"/>
  <c r="EN22"/>
  <c r="EO22"/>
  <c r="EP22"/>
  <c r="EQ22"/>
  <c r="ER22"/>
  <c r="ES22"/>
  <c r="ET22"/>
  <c r="EU22"/>
  <c r="EV22"/>
  <c r="EW22"/>
  <c r="EX22"/>
  <c r="EY22"/>
  <c r="EZ22"/>
  <c r="FA22"/>
  <c r="FB22"/>
  <c r="FC22"/>
  <c r="FD22"/>
  <c r="FE22"/>
  <c r="FF22"/>
  <c r="FG22"/>
  <c r="FH22"/>
  <c r="FI22"/>
  <c r="FJ22"/>
  <c r="FK22"/>
  <c r="FL22"/>
  <c r="FM22"/>
  <c r="FN22"/>
  <c r="FO22"/>
  <c r="FP22"/>
  <c r="FQ22"/>
  <c r="FR22"/>
  <c r="FS22"/>
  <c r="FT22"/>
  <c r="FU22"/>
  <c r="FV22"/>
  <c r="FW22"/>
  <c r="FX22"/>
  <c r="FY22"/>
  <c r="FZ22"/>
  <c r="GA22"/>
  <c r="GB22"/>
  <c r="GC22"/>
  <c r="GD22"/>
  <c r="GE22"/>
  <c r="GF22"/>
  <c r="GG22"/>
  <c r="GH22"/>
  <c r="GI22"/>
  <c r="GJ22"/>
  <c r="GK22"/>
  <c r="GL22"/>
  <c r="GM22"/>
  <c r="GN22"/>
  <c r="GO22"/>
  <c r="GP22"/>
  <c r="GQ22"/>
  <c r="GR22"/>
  <c r="GS22"/>
  <c r="GT22"/>
  <c r="GU22"/>
  <c r="GV22"/>
  <c r="GW22"/>
  <c r="GX22"/>
  <c r="C24"/>
  <c r="D24"/>
  <c r="I24"/>
  <c r="CU1" i="3" s="1"/>
  <c r="K24" i="1"/>
  <c r="E52" i="7" s="1"/>
  <c r="V24" i="1"/>
  <c r="AC24"/>
  <c r="AE24"/>
  <c r="AD24" s="1"/>
  <c r="AF24"/>
  <c r="AG24"/>
  <c r="AH24"/>
  <c r="AI24"/>
  <c r="AJ24"/>
  <c r="CX24" s="1"/>
  <c r="CQ24"/>
  <c r="CR24"/>
  <c r="CS24"/>
  <c r="CT24"/>
  <c r="CU24"/>
  <c r="T24" s="1"/>
  <c r="CV24"/>
  <c r="CW24"/>
  <c r="GL24"/>
  <c r="GO24"/>
  <c r="GP24"/>
  <c r="GV24"/>
  <c r="HC24"/>
  <c r="GX24" s="1"/>
  <c r="C25"/>
  <c r="D25"/>
  <c r="I25"/>
  <c r="CV2" i="3" s="1"/>
  <c r="U25" i="1" s="1"/>
  <c r="G64" i="7" s="1"/>
  <c r="K25" i="1"/>
  <c r="E61" i="7" s="1"/>
  <c r="AC25" i="1"/>
  <c r="AE25"/>
  <c r="AD25" s="1"/>
  <c r="AF25"/>
  <c r="AG25"/>
  <c r="CU25" s="1"/>
  <c r="T25" s="1"/>
  <c r="AH25"/>
  <c r="AI25"/>
  <c r="AJ25"/>
  <c r="CQ25"/>
  <c r="CR25"/>
  <c r="CS25"/>
  <c r="CT25"/>
  <c r="CV25"/>
  <c r="CW25"/>
  <c r="CX25"/>
  <c r="W25" s="1"/>
  <c r="GL25"/>
  <c r="GO25"/>
  <c r="GP25"/>
  <c r="GV25"/>
  <c r="HC25" s="1"/>
  <c r="GX25" s="1"/>
  <c r="O26"/>
  <c r="P26"/>
  <c r="Q26"/>
  <c r="R26"/>
  <c r="S26"/>
  <c r="T26"/>
  <c r="U26"/>
  <c r="V26"/>
  <c r="W26"/>
  <c r="X26"/>
  <c r="AZ80" i="7" s="1"/>
  <c r="Y26" i="1"/>
  <c r="BA80" i="7" s="1"/>
  <c r="AB26" i="1"/>
  <c r="CP26" s="1"/>
  <c r="GM26" s="1"/>
  <c r="AC26"/>
  <c r="AD26"/>
  <c r="AE26"/>
  <c r="AF26"/>
  <c r="AG26"/>
  <c r="AH26"/>
  <c r="AI26"/>
  <c r="AJ26"/>
  <c r="GL26"/>
  <c r="GO26"/>
  <c r="GP26"/>
  <c r="GV26"/>
  <c r="GX26"/>
  <c r="C27"/>
  <c r="D27"/>
  <c r="I27"/>
  <c r="CU7" i="3" s="1"/>
  <c r="K27" i="1"/>
  <c r="E81" i="7" s="1"/>
  <c r="AC27" i="1"/>
  <c r="AE27"/>
  <c r="AD27" s="1"/>
  <c r="AF27"/>
  <c r="AG27"/>
  <c r="AH27"/>
  <c r="AI27"/>
  <c r="AJ27"/>
  <c r="CQ27"/>
  <c r="CR27"/>
  <c r="CS27"/>
  <c r="CT27"/>
  <c r="CU27"/>
  <c r="T27" s="1"/>
  <c r="CV27"/>
  <c r="CW27"/>
  <c r="CX27"/>
  <c r="W27" s="1"/>
  <c r="GL27"/>
  <c r="GO27"/>
  <c r="GP27"/>
  <c r="GV27"/>
  <c r="HC27" s="1"/>
  <c r="GX27" s="1"/>
  <c r="C28"/>
  <c r="D28"/>
  <c r="I28"/>
  <c r="CV12" i="3" s="1"/>
  <c r="U28" i="1" s="1"/>
  <c r="G99" i="7" s="1"/>
  <c r="K28" i="1"/>
  <c r="E96" i="7" s="1"/>
  <c r="V28" i="1"/>
  <c r="AC28"/>
  <c r="AD28"/>
  <c r="AE28"/>
  <c r="AF28"/>
  <c r="AG28"/>
  <c r="AH28"/>
  <c r="AI28"/>
  <c r="AJ28"/>
  <c r="CQ28"/>
  <c r="CR28"/>
  <c r="CS28"/>
  <c r="CT28"/>
  <c r="CU28"/>
  <c r="CV28"/>
  <c r="CW28"/>
  <c r="CX28"/>
  <c r="W28" s="1"/>
  <c r="GL28"/>
  <c r="GO28"/>
  <c r="GP28"/>
  <c r="GV28"/>
  <c r="HC28" s="1"/>
  <c r="GX28" s="1"/>
  <c r="C29"/>
  <c r="D29"/>
  <c r="I29"/>
  <c r="CU13" i="3" s="1"/>
  <c r="K29" i="1"/>
  <c r="E106" i="7" s="1"/>
  <c r="AC29" i="1"/>
  <c r="AE29"/>
  <c r="AD29" s="1"/>
  <c r="AF29"/>
  <c r="AG29"/>
  <c r="AH29"/>
  <c r="AI29"/>
  <c r="AJ29"/>
  <c r="CQ29"/>
  <c r="CR29"/>
  <c r="CS29"/>
  <c r="CT29"/>
  <c r="CU29"/>
  <c r="CV29"/>
  <c r="CW29"/>
  <c r="CX29"/>
  <c r="W29" s="1"/>
  <c r="GL29"/>
  <c r="GO29"/>
  <c r="GP29"/>
  <c r="GV29"/>
  <c r="HC29"/>
  <c r="GX29" s="1"/>
  <c r="AC30"/>
  <c r="AE30"/>
  <c r="AD30" s="1"/>
  <c r="AF30"/>
  <c r="AG30"/>
  <c r="AH30"/>
  <c r="CV30" s="1"/>
  <c r="AI30"/>
  <c r="CW30" s="1"/>
  <c r="AJ30"/>
  <c r="CX30" s="1"/>
  <c r="CQ30"/>
  <c r="CR30"/>
  <c r="CS30"/>
  <c r="CT30"/>
  <c r="CU30"/>
  <c r="GL30"/>
  <c r="GO30"/>
  <c r="GP30"/>
  <c r="GV30"/>
  <c r="HC30"/>
  <c r="C31"/>
  <c r="D31"/>
  <c r="I31"/>
  <c r="AE144" i="7" s="1"/>
  <c r="K31" i="1"/>
  <c r="E123" i="7" s="1"/>
  <c r="AC31" i="1"/>
  <c r="AE31"/>
  <c r="AD31" s="1"/>
  <c r="AF31"/>
  <c r="AG31"/>
  <c r="CU31" s="1"/>
  <c r="T31" s="1"/>
  <c r="AH31"/>
  <c r="AI31"/>
  <c r="AJ31"/>
  <c r="CQ31"/>
  <c r="CR31"/>
  <c r="CS31"/>
  <c r="CT31"/>
  <c r="CV31"/>
  <c r="CW31"/>
  <c r="CX31"/>
  <c r="W31" s="1"/>
  <c r="GL31"/>
  <c r="GO31"/>
  <c r="GP31"/>
  <c r="GV31"/>
  <c r="HC31" s="1"/>
  <c r="GX31" s="1"/>
  <c r="AC32"/>
  <c r="AE32"/>
  <c r="AD32" s="1"/>
  <c r="AF32"/>
  <c r="AG32"/>
  <c r="CU32" s="1"/>
  <c r="AH32"/>
  <c r="CV32" s="1"/>
  <c r="AI32"/>
  <c r="CW32" s="1"/>
  <c r="AJ32"/>
  <c r="CX32" s="1"/>
  <c r="CQ32"/>
  <c r="CR32"/>
  <c r="CS32"/>
  <c r="CT32"/>
  <c r="GL32"/>
  <c r="GO32"/>
  <c r="GP32"/>
  <c r="GV32"/>
  <c r="HC32"/>
  <c r="I33"/>
  <c r="AE140" i="7" s="1"/>
  <c r="AC33" i="1"/>
  <c r="AE33"/>
  <c r="AD33" s="1"/>
  <c r="AF33"/>
  <c r="AG33"/>
  <c r="CU33" s="1"/>
  <c r="T33" s="1"/>
  <c r="AH33"/>
  <c r="CV33" s="1"/>
  <c r="U33" s="1"/>
  <c r="AI33"/>
  <c r="CW33" s="1"/>
  <c r="V33" s="1"/>
  <c r="AJ33"/>
  <c r="CQ33"/>
  <c r="P33" s="1"/>
  <c r="L140" i="7" s="1"/>
  <c r="AW140" s="1"/>
  <c r="CR33" i="1"/>
  <c r="Q33" s="1"/>
  <c r="CS33"/>
  <c r="R33" s="1"/>
  <c r="CT33"/>
  <c r="S33" s="1"/>
  <c r="CX33"/>
  <c r="W33" s="1"/>
  <c r="GL33"/>
  <c r="GO33"/>
  <c r="GP33"/>
  <c r="GV33"/>
  <c r="HC33" s="1"/>
  <c r="GX33" s="1"/>
  <c r="C34"/>
  <c r="D34"/>
  <c r="I34"/>
  <c r="AD169" i="7" s="1"/>
  <c r="K34" i="1"/>
  <c r="E145" i="7" s="1"/>
  <c r="AC34" i="1"/>
  <c r="AE34"/>
  <c r="AD34" s="1"/>
  <c r="AF34"/>
  <c r="AG34"/>
  <c r="AH34"/>
  <c r="AI34"/>
  <c r="AJ34"/>
  <c r="CX34" s="1"/>
  <c r="W34" s="1"/>
  <c r="CQ34"/>
  <c r="CR34"/>
  <c r="CS34"/>
  <c r="CT34"/>
  <c r="CU34"/>
  <c r="T34" s="1"/>
  <c r="CV34"/>
  <c r="CW34"/>
  <c r="GL34"/>
  <c r="GO34"/>
  <c r="GP34"/>
  <c r="GV34"/>
  <c r="HC34" s="1"/>
  <c r="GX34" s="1"/>
  <c r="I35"/>
  <c r="AD165" i="7" s="1"/>
  <c r="AC35" i="1"/>
  <c r="AE35"/>
  <c r="AD35" s="1"/>
  <c r="AF35"/>
  <c r="AG35"/>
  <c r="AH35"/>
  <c r="CV35" s="1"/>
  <c r="AI35"/>
  <c r="CW35" s="1"/>
  <c r="V35" s="1"/>
  <c r="AJ35"/>
  <c r="CX35" s="1"/>
  <c r="CQ35"/>
  <c r="P35" s="1"/>
  <c r="L165" i="7" s="1"/>
  <c r="AW165" s="1"/>
  <c r="CR35" i="1"/>
  <c r="CS35"/>
  <c r="R35" s="1"/>
  <c r="CT35"/>
  <c r="CU35"/>
  <c r="T35" s="1"/>
  <c r="GL35"/>
  <c r="GO35"/>
  <c r="GP35"/>
  <c r="GV35"/>
  <c r="GX35"/>
  <c r="HC35"/>
  <c r="C36"/>
  <c r="D36"/>
  <c r="I36"/>
  <c r="AE186" i="7" s="1"/>
  <c r="K36" i="1"/>
  <c r="E170" i="7" s="1"/>
  <c r="AC36" i="1"/>
  <c r="AE36"/>
  <c r="AD36" s="1"/>
  <c r="AF36"/>
  <c r="AG36"/>
  <c r="CU36" s="1"/>
  <c r="AH36"/>
  <c r="AI36"/>
  <c r="AJ36"/>
  <c r="CX36" s="1"/>
  <c r="W36" s="1"/>
  <c r="CQ36"/>
  <c r="CR36"/>
  <c r="CS36"/>
  <c r="CT36"/>
  <c r="CV36"/>
  <c r="CW36"/>
  <c r="GL36"/>
  <c r="GO36"/>
  <c r="GP36"/>
  <c r="GV36"/>
  <c r="HC36"/>
  <c r="GX36" s="1"/>
  <c r="AC37"/>
  <c r="AE37"/>
  <c r="AD37" s="1"/>
  <c r="AF37"/>
  <c r="AG37"/>
  <c r="CU37" s="1"/>
  <c r="AH37"/>
  <c r="CV37" s="1"/>
  <c r="AI37"/>
  <c r="CW37" s="1"/>
  <c r="AJ37"/>
  <c r="CQ37"/>
  <c r="CR37"/>
  <c r="CS37"/>
  <c r="CT37"/>
  <c r="CX37"/>
  <c r="GL37"/>
  <c r="GO37"/>
  <c r="GP37"/>
  <c r="GV37"/>
  <c r="HC37" s="1"/>
  <c r="C38"/>
  <c r="D38"/>
  <c r="U38"/>
  <c r="G191" i="7" s="1"/>
  <c r="AC38" i="1"/>
  <c r="AE38"/>
  <c r="AD38" s="1"/>
  <c r="AF38"/>
  <c r="AG38"/>
  <c r="AH38"/>
  <c r="AI38"/>
  <c r="AJ38"/>
  <c r="CX38" s="1"/>
  <c r="W38" s="1"/>
  <c r="CQ38"/>
  <c r="CR38"/>
  <c r="CS38"/>
  <c r="CT38"/>
  <c r="CU38"/>
  <c r="T38" s="1"/>
  <c r="CV38"/>
  <c r="CW38"/>
  <c r="GL38"/>
  <c r="GO38"/>
  <c r="GP38"/>
  <c r="GV38"/>
  <c r="HC38"/>
  <c r="GX38" s="1"/>
  <c r="I39"/>
  <c r="AD202" i="7" s="1"/>
  <c r="AC39" i="1"/>
  <c r="AE39"/>
  <c r="AD39" s="1"/>
  <c r="AF39"/>
  <c r="AG39"/>
  <c r="AH39"/>
  <c r="CV39" s="1"/>
  <c r="U39" s="1"/>
  <c r="AI39"/>
  <c r="CW39" s="1"/>
  <c r="V39" s="1"/>
  <c r="AJ39"/>
  <c r="CX39" s="1"/>
  <c r="W39" s="1"/>
  <c r="CQ39"/>
  <c r="P39" s="1"/>
  <c r="L202" i="7" s="1"/>
  <c r="AW202" s="1"/>
  <c r="CR39" i="1"/>
  <c r="Q39" s="1"/>
  <c r="CS39"/>
  <c r="R39" s="1"/>
  <c r="CT39"/>
  <c r="S39" s="1"/>
  <c r="CU39"/>
  <c r="T39" s="1"/>
  <c r="GL39"/>
  <c r="GO39"/>
  <c r="GP39"/>
  <c r="GV39"/>
  <c r="GX39"/>
  <c r="HC39"/>
  <c r="C40"/>
  <c r="D40"/>
  <c r="I40"/>
  <c r="AE229" i="7" s="1"/>
  <c r="K40" i="1"/>
  <c r="E207" i="7" s="1"/>
  <c r="AC40" i="1"/>
  <c r="AE40"/>
  <c r="AD40" s="1"/>
  <c r="AF40"/>
  <c r="AG40"/>
  <c r="CU40" s="1"/>
  <c r="AH40"/>
  <c r="AI40"/>
  <c r="AJ40"/>
  <c r="CX40" s="1"/>
  <c r="W40" s="1"/>
  <c r="CQ40"/>
  <c r="CR40"/>
  <c r="CS40"/>
  <c r="CT40"/>
  <c r="CV40"/>
  <c r="CW40"/>
  <c r="GL40"/>
  <c r="GO40"/>
  <c r="GP40"/>
  <c r="CD43" s="1"/>
  <c r="CD22" s="1"/>
  <c r="GV40"/>
  <c r="HC40"/>
  <c r="GX40" s="1"/>
  <c r="AC41"/>
  <c r="AE41"/>
  <c r="AD41" s="1"/>
  <c r="AF41"/>
  <c r="AG41"/>
  <c r="CU41" s="1"/>
  <c r="AH41"/>
  <c r="AI41"/>
  <c r="CW41" s="1"/>
  <c r="AJ41"/>
  <c r="CQ41"/>
  <c r="CR41"/>
  <c r="CS41"/>
  <c r="CT41"/>
  <c r="CV41"/>
  <c r="CX41"/>
  <c r="GL41"/>
  <c r="GO41"/>
  <c r="GP41"/>
  <c r="GV41"/>
  <c r="HC41"/>
  <c r="B43"/>
  <c r="B22" s="1"/>
  <c r="C43"/>
  <c r="C22" s="1"/>
  <c r="D43"/>
  <c r="D22" s="1"/>
  <c r="F43"/>
  <c r="F22" s="1"/>
  <c r="G43"/>
  <c r="G22" s="1"/>
  <c r="BX43"/>
  <c r="BX22" s="1"/>
  <c r="BY43"/>
  <c r="BY22" s="1"/>
  <c r="BZ43"/>
  <c r="BZ22" s="1"/>
  <c r="CK43"/>
  <c r="CK22" s="1"/>
  <c r="CL43"/>
  <c r="CL22" s="1"/>
  <c r="B73"/>
  <c r="B18" s="1"/>
  <c r="C73"/>
  <c r="C18" s="1"/>
  <c r="D73"/>
  <c r="D18" s="1"/>
  <c r="F73"/>
  <c r="F18" s="1"/>
  <c r="G73"/>
  <c r="G18" s="1"/>
  <c r="F12" i="6"/>
  <c r="G12"/>
  <c r="J154" i="7" l="1"/>
  <c r="J136"/>
  <c r="J113"/>
  <c r="J68"/>
  <c r="J90"/>
  <c r="J182"/>
  <c r="DG38" i="3"/>
  <c r="DH38"/>
  <c r="DF38"/>
  <c r="T40" i="1"/>
  <c r="T36"/>
  <c r="S35"/>
  <c r="Q35"/>
  <c r="W35"/>
  <c r="U35"/>
  <c r="Q30"/>
  <c r="U30"/>
  <c r="I30"/>
  <c r="AE118" i="7" s="1"/>
  <c r="T29" i="1"/>
  <c r="T28"/>
  <c r="W24"/>
  <c r="DI40" i="3"/>
  <c r="DG40"/>
  <c r="V38" i="1"/>
  <c r="G194" i="7" s="1"/>
  <c r="L273"/>
  <c r="GX30" i="1"/>
  <c r="DG42" i="3"/>
  <c r="DF42"/>
  <c r="DJ42" s="1"/>
  <c r="L194" i="7"/>
  <c r="T30" i="1"/>
  <c r="R30"/>
  <c r="P30"/>
  <c r="L118" i="7" s="1"/>
  <c r="AN118" s="1"/>
  <c r="DJ41" i="3"/>
  <c r="DJ40"/>
  <c r="CW4"/>
  <c r="CX2"/>
  <c r="G65" i="7" s="1"/>
  <c r="G52"/>
  <c r="C53"/>
  <c r="AE60"/>
  <c r="G61"/>
  <c r="AD78"/>
  <c r="AD95"/>
  <c r="C98"/>
  <c r="AE105"/>
  <c r="G106"/>
  <c r="C108"/>
  <c r="G118"/>
  <c r="AD118"/>
  <c r="AD122"/>
  <c r="G123"/>
  <c r="C127"/>
  <c r="AD140"/>
  <c r="AD144"/>
  <c r="G145"/>
  <c r="C149"/>
  <c r="G165"/>
  <c r="J165"/>
  <c r="AE165"/>
  <c r="AE169"/>
  <c r="AD186"/>
  <c r="G202"/>
  <c r="AE202"/>
  <c r="AD229"/>
  <c r="L264"/>
  <c r="AB39" i="1"/>
  <c r="CX17" i="3"/>
  <c r="CX13"/>
  <c r="G110" i="7" s="1"/>
  <c r="CX9" i="3"/>
  <c r="CX7"/>
  <c r="G84" i="7" s="1"/>
  <c r="CW5" i="3"/>
  <c r="AD60" i="7"/>
  <c r="C63"/>
  <c r="AE78"/>
  <c r="G81"/>
  <c r="C82"/>
  <c r="AE95"/>
  <c r="G96"/>
  <c r="AD105"/>
  <c r="AE122"/>
  <c r="G140"/>
  <c r="G170"/>
  <c r="G180" s="1"/>
  <c r="C174"/>
  <c r="G192"/>
  <c r="L195"/>
  <c r="L193" s="1"/>
  <c r="AO206" s="1"/>
  <c r="G197"/>
  <c r="L197"/>
  <c r="G207"/>
  <c r="G217" s="1"/>
  <c r="C211"/>
  <c r="J225"/>
  <c r="L295"/>
  <c r="J200"/>
  <c r="J202"/>
  <c r="L289"/>
  <c r="G134"/>
  <c r="J140"/>
  <c r="G155"/>
  <c r="G157"/>
  <c r="J158"/>
  <c r="AN165"/>
  <c r="AN202"/>
  <c r="J218"/>
  <c r="G69"/>
  <c r="G71"/>
  <c r="G89"/>
  <c r="J132"/>
  <c r="AN140"/>
  <c r="G159"/>
  <c r="G161"/>
  <c r="G196"/>
  <c r="G198"/>
  <c r="G220"/>
  <c r="AT206"/>
  <c r="L255"/>
  <c r="L253" s="1"/>
  <c r="AW118"/>
  <c r="AB38" i="1"/>
  <c r="CC43"/>
  <c r="CC22" s="1"/>
  <c r="AB40"/>
  <c r="CP39"/>
  <c r="O39" s="1"/>
  <c r="GM39" s="1"/>
  <c r="GN39" s="1"/>
  <c r="AB37"/>
  <c r="AB35"/>
  <c r="AB34"/>
  <c r="AB32"/>
  <c r="AB30"/>
  <c r="AB28"/>
  <c r="AB27"/>
  <c r="AB25"/>
  <c r="AB24"/>
  <c r="DH42" i="3"/>
  <c r="DI41"/>
  <c r="DI38"/>
  <c r="V25" i="1"/>
  <c r="G67" i="7" s="1"/>
  <c r="CZ35" i="1"/>
  <c r="Y35" s="1"/>
  <c r="BA165" i="7" s="1"/>
  <c r="CY35" i="1"/>
  <c r="X35" s="1"/>
  <c r="AZ165" i="7" s="1"/>
  <c r="CP33" i="1"/>
  <c r="O33" s="1"/>
  <c r="CZ39"/>
  <c r="Y39" s="1"/>
  <c r="BA202" i="7" s="1"/>
  <c r="CY39" i="1"/>
  <c r="X39" s="1"/>
  <c r="AZ202" i="7" s="1"/>
  <c r="CY33" i="1"/>
  <c r="X33" s="1"/>
  <c r="AZ140" i="7" s="1"/>
  <c r="CZ33" i="1"/>
  <c r="Y33" s="1"/>
  <c r="BA140" i="7" s="1"/>
  <c r="AB41" i="1"/>
  <c r="AB36"/>
  <c r="CP35"/>
  <c r="O35" s="1"/>
  <c r="AB33"/>
  <c r="AB31"/>
  <c r="CU44" i="3"/>
  <c r="CX44"/>
  <c r="G213" i="7" s="1"/>
  <c r="CW46" i="3"/>
  <c r="CW47"/>
  <c r="CW48"/>
  <c r="CX49"/>
  <c r="G222" i="7" s="1"/>
  <c r="CV44" i="3"/>
  <c r="U40" i="1" s="1"/>
  <c r="G212" i="7" s="1"/>
  <c r="CX46" i="3"/>
  <c r="G216" i="7" s="1"/>
  <c r="CX47" i="3"/>
  <c r="G218" i="7" s="1"/>
  <c r="CX48" i="3"/>
  <c r="G219" i="7" s="1"/>
  <c r="CV34" i="3"/>
  <c r="U36" i="1" s="1"/>
  <c r="G175" i="7" s="1"/>
  <c r="CX36" i="3"/>
  <c r="G179" i="7" s="1"/>
  <c r="CU34" i="3"/>
  <c r="CV18"/>
  <c r="U31" i="1" s="1"/>
  <c r="G128" i="7" s="1"/>
  <c r="CX20" i="3"/>
  <c r="G132" i="7" s="1"/>
  <c r="CX21" i="3"/>
  <c r="G133" i="7" s="1"/>
  <c r="CU18" i="3"/>
  <c r="CW20"/>
  <c r="GN26" i="1"/>
  <c r="HD26"/>
  <c r="DG43" i="3"/>
  <c r="DI43"/>
  <c r="DF43"/>
  <c r="DH43"/>
  <c r="DG39"/>
  <c r="Q38" i="1" s="1"/>
  <c r="DI39" i="3"/>
  <c r="DF39"/>
  <c r="P38" i="1" s="1"/>
  <c r="DH39" i="3"/>
  <c r="R38" i="1" s="1"/>
  <c r="DF17" i="3"/>
  <c r="DJ17" s="1"/>
  <c r="DH17"/>
  <c r="DG17"/>
  <c r="DI17"/>
  <c r="DF13"/>
  <c r="DH13"/>
  <c r="DG13"/>
  <c r="DI13"/>
  <c r="L110" i="7" s="1"/>
  <c r="L109" s="1"/>
  <c r="AR122" s="1"/>
  <c r="L119" s="1"/>
  <c r="DF9" i="3"/>
  <c r="DH9"/>
  <c r="DG9"/>
  <c r="DI9"/>
  <c r="DJ9" s="1"/>
  <c r="DF7"/>
  <c r="DH7"/>
  <c r="DG7"/>
  <c r="DI7"/>
  <c r="L84" i="7" s="1"/>
  <c r="BC43" i="1"/>
  <c r="AU43"/>
  <c r="AQ43"/>
  <c r="AO43"/>
  <c r="CX51" i="3"/>
  <c r="CX45"/>
  <c r="CX37"/>
  <c r="CX35"/>
  <c r="CW31"/>
  <c r="CW29"/>
  <c r="CX27"/>
  <c r="CX25"/>
  <c r="G137" i="7" s="1"/>
  <c r="CX23" i="3"/>
  <c r="CW21"/>
  <c r="CX19"/>
  <c r="CV26"/>
  <c r="U34" i="1" s="1"/>
  <c r="G150" i="7" s="1"/>
  <c r="CX28" i="3"/>
  <c r="G154" i="7" s="1"/>
  <c r="CX29" i="3"/>
  <c r="G156" i="7" s="1"/>
  <c r="CX30" i="3"/>
  <c r="G158" i="7" s="1"/>
  <c r="CX31" i="3"/>
  <c r="G160" i="7" s="1"/>
  <c r="CX33" i="3"/>
  <c r="CU26"/>
  <c r="CW28"/>
  <c r="DG2"/>
  <c r="DI2"/>
  <c r="L65" i="7" s="1"/>
  <c r="L64" s="1"/>
  <c r="AR78" s="1"/>
  <c r="DF2" i="3"/>
  <c r="DH2"/>
  <c r="CI43" i="1"/>
  <c r="CG43"/>
  <c r="BB43"/>
  <c r="AT43"/>
  <c r="AP43"/>
  <c r="I41"/>
  <c r="I37"/>
  <c r="I32"/>
  <c r="AB29"/>
  <c r="CX50" i="3"/>
  <c r="G223" i="7" s="1"/>
  <c r="CW36" i="3"/>
  <c r="V36" i="1" s="1"/>
  <c r="G178" i="7" s="1"/>
  <c r="CX34" i="3"/>
  <c r="G176" i="7" s="1"/>
  <c r="CX32" i="3"/>
  <c r="G163" i="7" s="1"/>
  <c r="CW30" i="3"/>
  <c r="CX26"/>
  <c r="G151" i="7" s="1"/>
  <c r="CX24" i="3"/>
  <c r="G136" i="7" s="1"/>
  <c r="CX22" i="3"/>
  <c r="CX18"/>
  <c r="G129" i="7" s="1"/>
  <c r="DI42" i="3"/>
  <c r="CX16"/>
  <c r="G116" i="7" s="1"/>
  <c r="CW15" i="3"/>
  <c r="CW14"/>
  <c r="CV13"/>
  <c r="U29" i="1" s="1"/>
  <c r="G109" i="7" s="1"/>
  <c r="CX12" i="3"/>
  <c r="G100" i="7" s="1"/>
  <c r="CU12" i="3"/>
  <c r="CW11"/>
  <c r="CW10"/>
  <c r="CX8"/>
  <c r="G85" i="7" s="1"/>
  <c r="CU8" i="3"/>
  <c r="CV7"/>
  <c r="CX6"/>
  <c r="G73" i="7" s="1"/>
  <c r="CU2" i="3"/>
  <c r="CV1"/>
  <c r="U24" i="1" s="1"/>
  <c r="G54" i="7" s="1"/>
  <c r="CX15" i="3"/>
  <c r="G114" i="7" s="1"/>
  <c r="CX14" i="3"/>
  <c r="G113" i="7" s="1"/>
  <c r="CX11" i="3"/>
  <c r="G90" i="7" s="1"/>
  <c r="CX10" i="3"/>
  <c r="G88" i="7" s="1"/>
  <c r="CV8" i="3"/>
  <c r="CX5"/>
  <c r="G70" i="7" s="1"/>
  <c r="CX4" i="3"/>
  <c r="G68" i="7" s="1"/>
  <c r="CX3" i="3"/>
  <c r="CX1"/>
  <c r="G55" i="7" s="1"/>
  <c r="L286" l="1"/>
  <c r="L284" s="1"/>
  <c r="V27" i="1"/>
  <c r="G87" i="7" s="1"/>
  <c r="W30" i="1"/>
  <c r="S30"/>
  <c r="V30"/>
  <c r="L278" i="7"/>
  <c r="L329" s="1"/>
  <c r="S37" i="1"/>
  <c r="AE182" i="7"/>
  <c r="G182"/>
  <c r="AD182"/>
  <c r="CM43" i="1"/>
  <c r="L79" i="7"/>
  <c r="S32" i="1"/>
  <c r="AE139" i="7"/>
  <c r="G139"/>
  <c r="AD139"/>
  <c r="U41" i="1"/>
  <c r="AE225" i="7"/>
  <c r="G225"/>
  <c r="AD225"/>
  <c r="DJ43" i="3"/>
  <c r="L200" i="7"/>
  <c r="L199" s="1"/>
  <c r="AW206" s="1"/>
  <c r="DJ38" i="3"/>
  <c r="L192" i="7"/>
  <c r="L191" s="1"/>
  <c r="GM35" i="1"/>
  <c r="GN35" s="1"/>
  <c r="DG6" i="3"/>
  <c r="DI6"/>
  <c r="DF6"/>
  <c r="DH6"/>
  <c r="DF1"/>
  <c r="P24" i="1" s="1"/>
  <c r="DH1" i="3"/>
  <c r="R24" i="1" s="1"/>
  <c r="DG1" i="3"/>
  <c r="Q24" i="1" s="1"/>
  <c r="DI1" i="3"/>
  <c r="L55" i="7" s="1"/>
  <c r="L54" s="1"/>
  <c r="DF4" i="3"/>
  <c r="DH4"/>
  <c r="L69" i="7" s="1"/>
  <c r="DG4" i="3"/>
  <c r="DI4"/>
  <c r="DF11"/>
  <c r="DH11"/>
  <c r="DG11"/>
  <c r="DI11"/>
  <c r="DF15"/>
  <c r="DH15"/>
  <c r="DG15"/>
  <c r="DI15"/>
  <c r="DG8"/>
  <c r="DI8"/>
  <c r="DF8"/>
  <c r="DH8"/>
  <c r="DG12"/>
  <c r="Q28" i="1" s="1"/>
  <c r="DI12" i="3"/>
  <c r="L100" i="7" s="1"/>
  <c r="L99" s="1"/>
  <c r="DF12" i="3"/>
  <c r="P28" i="1" s="1"/>
  <c r="DH12" i="3"/>
  <c r="R28" i="1" s="1"/>
  <c r="DG16" i="3"/>
  <c r="DI16"/>
  <c r="DF16"/>
  <c r="DH16"/>
  <c r="DG18"/>
  <c r="DI18"/>
  <c r="L129" i="7" s="1"/>
  <c r="L128" s="1"/>
  <c r="AR144" s="1"/>
  <c r="DF18" i="3"/>
  <c r="DH18"/>
  <c r="DG24"/>
  <c r="DI24"/>
  <c r="DF24"/>
  <c r="DH24"/>
  <c r="DG34"/>
  <c r="DI34"/>
  <c r="L176" i="7" s="1"/>
  <c r="L175" s="1"/>
  <c r="DF34" i="3"/>
  <c r="DH34"/>
  <c r="DG50"/>
  <c r="DI50"/>
  <c r="DF50"/>
  <c r="DH50"/>
  <c r="AT22" i="1"/>
  <c r="F61"/>
  <c r="AT73"/>
  <c r="CG22"/>
  <c r="AX43"/>
  <c r="DJ2" i="3"/>
  <c r="DF33"/>
  <c r="DJ33" s="1"/>
  <c r="DH33"/>
  <c r="DG33"/>
  <c r="DI33"/>
  <c r="DF30"/>
  <c r="DH30"/>
  <c r="L159" i="7" s="1"/>
  <c r="DG30" i="3"/>
  <c r="L158" i="7" s="1"/>
  <c r="DI30" i="3"/>
  <c r="DF28"/>
  <c r="DH28"/>
  <c r="L155" i="7" s="1"/>
  <c r="DG28" i="3"/>
  <c r="L154" i="7" s="1"/>
  <c r="DI28" i="3"/>
  <c r="DF19"/>
  <c r="DH19"/>
  <c r="DG19"/>
  <c r="DI19"/>
  <c r="DJ19" s="1"/>
  <c r="DF23"/>
  <c r="DJ23" s="1"/>
  <c r="DH23"/>
  <c r="DG23"/>
  <c r="DI23"/>
  <c r="DF27"/>
  <c r="DH27"/>
  <c r="DG27"/>
  <c r="DI27"/>
  <c r="DJ27" s="1"/>
  <c r="DG37"/>
  <c r="DI37"/>
  <c r="DF37"/>
  <c r="DJ37" s="1"/>
  <c r="DH37"/>
  <c r="DF51"/>
  <c r="DJ51" s="1"/>
  <c r="DH51"/>
  <c r="DG51"/>
  <c r="DI51"/>
  <c r="AQ22" i="1"/>
  <c r="AQ73"/>
  <c r="F53"/>
  <c r="BC22"/>
  <c r="BC73"/>
  <c r="F59"/>
  <c r="DF20" i="3"/>
  <c r="DH20"/>
  <c r="DG20"/>
  <c r="L132" i="7" s="1"/>
  <c r="DI20" i="3"/>
  <c r="DG47"/>
  <c r="L218" i="7" s="1"/>
  <c r="DI47" i="3"/>
  <c r="DF47"/>
  <c r="DH47"/>
  <c r="U27" i="1"/>
  <c r="G83" i="7" s="1"/>
  <c r="V29" i="1"/>
  <c r="G112" i="7" s="1"/>
  <c r="V34" i="1"/>
  <c r="G153" i="7" s="1"/>
  <c r="V40" i="1"/>
  <c r="G215" i="7" s="1"/>
  <c r="V32" i="1"/>
  <c r="R32"/>
  <c r="CZ32" s="1"/>
  <c r="Y32" s="1"/>
  <c r="BA139" i="7" s="1"/>
  <c r="GX32" i="1"/>
  <c r="T37"/>
  <c r="P37"/>
  <c r="L182" i="7" s="1"/>
  <c r="U37" i="1"/>
  <c r="S41"/>
  <c r="Q37"/>
  <c r="W37"/>
  <c r="T41"/>
  <c r="R41"/>
  <c r="GX41"/>
  <c r="Q32"/>
  <c r="W32"/>
  <c r="V41"/>
  <c r="DF3" i="3"/>
  <c r="DH3"/>
  <c r="DG3"/>
  <c r="DI3"/>
  <c r="DJ3" s="1"/>
  <c r="DF5"/>
  <c r="DH5"/>
  <c r="L71" i="7" s="1"/>
  <c r="DG5" i="3"/>
  <c r="L70" i="7" s="1"/>
  <c r="DI5" i="3"/>
  <c r="DF10"/>
  <c r="P27" i="1" s="1"/>
  <c r="DH10" i="3"/>
  <c r="L89" i="7" s="1"/>
  <c r="L87" s="1"/>
  <c r="DG10" i="3"/>
  <c r="L88" i="7" s="1"/>
  <c r="DI10" i="3"/>
  <c r="DF14"/>
  <c r="P29" i="1" s="1"/>
  <c r="DH14" i="3"/>
  <c r="DG14"/>
  <c r="L113" i="7" s="1"/>
  <c r="DI14" i="3"/>
  <c r="DG22"/>
  <c r="DI22"/>
  <c r="DF22"/>
  <c r="DJ22" s="1"/>
  <c r="DH22"/>
  <c r="DG26"/>
  <c r="DI26"/>
  <c r="L151" i="7" s="1"/>
  <c r="L150" s="1"/>
  <c r="DF26" i="3"/>
  <c r="DH26"/>
  <c r="DG32"/>
  <c r="DI32"/>
  <c r="DF32"/>
  <c r="DH32"/>
  <c r="AP22" i="1"/>
  <c r="F52"/>
  <c r="AP73"/>
  <c r="BB22"/>
  <c r="F56"/>
  <c r="BB73"/>
  <c r="CI22"/>
  <c r="AZ43"/>
  <c r="DF31" i="3"/>
  <c r="DH31"/>
  <c r="L161" i="7" s="1"/>
  <c r="DG31" i="3"/>
  <c r="L160" i="7" s="1"/>
  <c r="DI31" i="3"/>
  <c r="DF29"/>
  <c r="DH29"/>
  <c r="L157" i="7" s="1"/>
  <c r="DG29" i="3"/>
  <c r="L156" i="7" s="1"/>
  <c r="DI29" i="3"/>
  <c r="DF25"/>
  <c r="DH25"/>
  <c r="DG25"/>
  <c r="DI25"/>
  <c r="DF35"/>
  <c r="DH35"/>
  <c r="DG35"/>
  <c r="DI35"/>
  <c r="DJ35" s="1"/>
  <c r="DG45"/>
  <c r="DI45"/>
  <c r="DJ45" s="1"/>
  <c r="DF45"/>
  <c r="DH45"/>
  <c r="AO22" i="1"/>
  <c r="AO73"/>
  <c r="F47"/>
  <c r="AU22"/>
  <c r="F62"/>
  <c r="C44" i="7" s="1"/>
  <c r="AU73" i="1"/>
  <c r="DJ7" i="3"/>
  <c r="S27" i="1"/>
  <c r="DJ13" i="3"/>
  <c r="S29" i="1"/>
  <c r="DJ39" i="3"/>
  <c r="S38" i="1"/>
  <c r="CM22"/>
  <c r="BD43"/>
  <c r="DF21" i="3"/>
  <c r="DH21"/>
  <c r="L134" i="7" s="1"/>
  <c r="L131" s="1"/>
  <c r="DG21" i="3"/>
  <c r="L133" i="7" s="1"/>
  <c r="DI21" i="3"/>
  <c r="DF36"/>
  <c r="DH36"/>
  <c r="L180" i="7" s="1"/>
  <c r="L178" s="1"/>
  <c r="DG36" i="3"/>
  <c r="L179" i="7" s="1"/>
  <c r="DI36" i="3"/>
  <c r="DG48"/>
  <c r="L219" i="7" s="1"/>
  <c r="DI48" i="3"/>
  <c r="DF48"/>
  <c r="DH48"/>
  <c r="L220" i="7" s="1"/>
  <c r="DG46" i="3"/>
  <c r="L216" i="7" s="1"/>
  <c r="DI46" i="3"/>
  <c r="DF46"/>
  <c r="DH46"/>
  <c r="L217" i="7" s="1"/>
  <c r="L215" s="1"/>
  <c r="DF49" i="3"/>
  <c r="DH49"/>
  <c r="DG49"/>
  <c r="DI49"/>
  <c r="DF44"/>
  <c r="P40" i="1" s="1"/>
  <c r="DH44" i="3"/>
  <c r="R40" i="1" s="1"/>
  <c r="DG44" i="3"/>
  <c r="Q40" i="1" s="1"/>
  <c r="DI44" i="3"/>
  <c r="L213" i="7" s="1"/>
  <c r="L212" s="1"/>
  <c r="P25" i="1"/>
  <c r="Q25"/>
  <c r="R27"/>
  <c r="R29"/>
  <c r="V31"/>
  <c r="T32"/>
  <c r="AG43" s="1"/>
  <c r="P32"/>
  <c r="U32"/>
  <c r="V37"/>
  <c r="R37"/>
  <c r="CZ37" s="1"/>
  <c r="Y37" s="1"/>
  <c r="BA182" i="7" s="1"/>
  <c r="GX37" i="1"/>
  <c r="Q41"/>
  <c r="W41"/>
  <c r="P41"/>
  <c r="GM33"/>
  <c r="GN33" s="1"/>
  <c r="CZ30" l="1"/>
  <c r="Y30" s="1"/>
  <c r="BA118" i="7" s="1"/>
  <c r="CY30" i="1"/>
  <c r="X30" s="1"/>
  <c r="AZ118" i="7" s="1"/>
  <c r="CP30" i="1"/>
  <c r="O30" s="1"/>
  <c r="CP41"/>
  <c r="O41" s="1"/>
  <c r="L225" i="7"/>
  <c r="AR229"/>
  <c r="L214"/>
  <c r="AO229" s="1"/>
  <c r="AT229"/>
  <c r="AT186"/>
  <c r="L177"/>
  <c r="AO186" s="1"/>
  <c r="AT144"/>
  <c r="L141" s="1"/>
  <c r="L130"/>
  <c r="AO144" s="1"/>
  <c r="G16" i="2"/>
  <c r="C43" i="7"/>
  <c r="AR169"/>
  <c r="AT95"/>
  <c r="AN182"/>
  <c r="AW182"/>
  <c r="DJ50" i="3"/>
  <c r="L223" i="7"/>
  <c r="DJ24" i="3"/>
  <c r="L136" i="7"/>
  <c r="DJ16" i="3"/>
  <c r="L116" i="7"/>
  <c r="L115" s="1"/>
  <c r="AW122" s="1"/>
  <c r="DJ15" i="3"/>
  <c r="L114" i="7"/>
  <c r="L111" s="1"/>
  <c r="DJ11" i="3"/>
  <c r="L90" i="7"/>
  <c r="L86" s="1"/>
  <c r="AO95" s="1"/>
  <c r="DJ4" i="3"/>
  <c r="L68" i="7"/>
  <c r="DJ6" i="3"/>
  <c r="L73" i="7"/>
  <c r="L72" s="1"/>
  <c r="AW78" s="1"/>
  <c r="BB80"/>
  <c r="K80"/>
  <c r="I80" s="1"/>
  <c r="AN80"/>
  <c r="CP32" i="1"/>
  <c r="O32" s="1"/>
  <c r="L139" i="7"/>
  <c r="AI43" i="1"/>
  <c r="V43" s="1"/>
  <c r="G131" i="7"/>
  <c r="DJ49" i="3"/>
  <c r="L222" i="7"/>
  <c r="DJ25" i="3"/>
  <c r="L137" i="7"/>
  <c r="DJ32" i="3"/>
  <c r="L163" i="7"/>
  <c r="L162" s="1"/>
  <c r="AW169" s="1"/>
  <c r="F16" i="2"/>
  <c r="C42" i="7"/>
  <c r="AR186"/>
  <c r="L183" s="1"/>
  <c r="AR105"/>
  <c r="L102" s="1"/>
  <c r="L101"/>
  <c r="DJ8" i="3"/>
  <c r="L85" i="7"/>
  <c r="L83" s="1"/>
  <c r="L56"/>
  <c r="AR60"/>
  <c r="L201"/>
  <c r="AR206"/>
  <c r="L203" s="1"/>
  <c r="L153"/>
  <c r="L67"/>
  <c r="R25" i="1"/>
  <c r="AH43"/>
  <c r="U43" s="1"/>
  <c r="DJ46" i="3"/>
  <c r="DJ48"/>
  <c r="DJ36"/>
  <c r="DJ21"/>
  <c r="DJ29"/>
  <c r="DJ31"/>
  <c r="DJ14"/>
  <c r="DJ10"/>
  <c r="DJ5"/>
  <c r="AH22" i="1"/>
  <c r="AG22"/>
  <c r="T43"/>
  <c r="DJ44" i="3"/>
  <c r="S40" i="1"/>
  <c r="BD22"/>
  <c r="F68"/>
  <c r="BD73"/>
  <c r="CZ38"/>
  <c r="Y38" s="1"/>
  <c r="BA206" i="7" s="1"/>
  <c r="L205" s="1"/>
  <c r="CY38" i="1"/>
  <c r="X38" s="1"/>
  <c r="AZ206" i="7" s="1"/>
  <c r="L204" s="1"/>
  <c r="CY29" i="1"/>
  <c r="X29" s="1"/>
  <c r="AZ122" i="7" s="1"/>
  <c r="L120" s="1"/>
  <c r="CZ29" i="1"/>
  <c r="Y29" s="1"/>
  <c r="BA122" i="7" s="1"/>
  <c r="L121" s="1"/>
  <c r="CZ27" i="1"/>
  <c r="Y27" s="1"/>
  <c r="BA95" i="7" s="1"/>
  <c r="L94" s="1"/>
  <c r="CY27" i="1"/>
  <c r="X27" s="1"/>
  <c r="AZ95" i="7" s="1"/>
  <c r="L93" s="1"/>
  <c r="AU18" i="1"/>
  <c r="F92"/>
  <c r="AO18"/>
  <c r="F77"/>
  <c r="AZ22"/>
  <c r="F54"/>
  <c r="AZ73"/>
  <c r="BB18"/>
  <c r="F86"/>
  <c r="DJ26" i="3"/>
  <c r="S34" i="1"/>
  <c r="CY41"/>
  <c r="X41" s="1"/>
  <c r="AZ225" i="7" s="1"/>
  <c r="CZ41" i="1"/>
  <c r="Y41" s="1"/>
  <c r="BA225" i="7" s="1"/>
  <c r="AQ18" i="1"/>
  <c r="F83"/>
  <c r="AX22"/>
  <c r="F50"/>
  <c r="AX73"/>
  <c r="AT18"/>
  <c r="F91"/>
  <c r="R34"/>
  <c r="CP37"/>
  <c r="O37" s="1"/>
  <c r="CJ43"/>
  <c r="CP38"/>
  <c r="O38" s="1"/>
  <c r="Q29"/>
  <c r="CP29" s="1"/>
  <c r="O29" s="1"/>
  <c r="Q27"/>
  <c r="CP27" s="1"/>
  <c r="O27" s="1"/>
  <c r="P36"/>
  <c r="Q36"/>
  <c r="P31"/>
  <c r="Q31"/>
  <c r="CY37"/>
  <c r="X37" s="1"/>
  <c r="AZ182" i="7" s="1"/>
  <c r="CY32" i="1"/>
  <c r="X32" s="1"/>
  <c r="AI22"/>
  <c r="AP18"/>
  <c r="F82"/>
  <c r="BC18"/>
  <c r="F89"/>
  <c r="DJ34" i="3"/>
  <c r="S36" i="1"/>
  <c r="DJ18" i="3"/>
  <c r="S31" i="1"/>
  <c r="DJ12" i="3"/>
  <c r="S28" i="1"/>
  <c r="DJ1" i="3"/>
  <c r="S24" i="1"/>
  <c r="CP40"/>
  <c r="O40" s="1"/>
  <c r="P34"/>
  <c r="Q34"/>
  <c r="AJ43"/>
  <c r="DJ47" i="3"/>
  <c r="DJ20"/>
  <c r="DJ28"/>
  <c r="DJ30"/>
  <c r="S25" i="1"/>
  <c r="R36"/>
  <c r="R31"/>
  <c r="L181" i="7" l="1"/>
  <c r="AE43" i="1"/>
  <c r="L221" i="7"/>
  <c r="AW229" s="1"/>
  <c r="GM30" i="1"/>
  <c r="GN30" s="1"/>
  <c r="L226" i="7"/>
  <c r="CP34" i="1"/>
  <c r="O34" s="1"/>
  <c r="GM27"/>
  <c r="GN27" s="1"/>
  <c r="GM38"/>
  <c r="GN38" s="1"/>
  <c r="AN206" i="7"/>
  <c r="GM32" i="1"/>
  <c r="GN32" s="1"/>
  <c r="AZ139" i="7"/>
  <c r="AT169"/>
  <c r="L152"/>
  <c r="AO122"/>
  <c r="AN122"/>
  <c r="K122"/>
  <c r="I122" s="1"/>
  <c r="L117"/>
  <c r="K206"/>
  <c r="I206" s="1"/>
  <c r="L135"/>
  <c r="L166"/>
  <c r="L66"/>
  <c r="AT78"/>
  <c r="L57"/>
  <c r="AR95"/>
  <c r="L92" s="1"/>
  <c r="K95"/>
  <c r="I95" s="1"/>
  <c r="AN95"/>
  <c r="L91"/>
  <c r="AN139"/>
  <c r="AW139"/>
  <c r="L321"/>
  <c r="L248"/>
  <c r="AN225"/>
  <c r="AW225"/>
  <c r="CP25" i="1"/>
  <c r="O25" s="1"/>
  <c r="GM29"/>
  <c r="GN29" s="1"/>
  <c r="AD43"/>
  <c r="AD22" s="1"/>
  <c r="GM41"/>
  <c r="GN41" s="1"/>
  <c r="GM37"/>
  <c r="GN37" s="1"/>
  <c r="AE22"/>
  <c r="R43"/>
  <c r="AJ22"/>
  <c r="W43"/>
  <c r="CY24"/>
  <c r="X24" s="1"/>
  <c r="AZ60" i="7" s="1"/>
  <c r="CZ24" i="1"/>
  <c r="Y24" s="1"/>
  <c r="BA60" i="7" s="1"/>
  <c r="AF43" i="1"/>
  <c r="CY28"/>
  <c r="X28" s="1"/>
  <c r="AZ105" i="7" s="1"/>
  <c r="L103" s="1"/>
  <c r="CZ28" i="1"/>
  <c r="Y28" s="1"/>
  <c r="BA105" i="7" s="1"/>
  <c r="L104" s="1"/>
  <c r="CY31" i="1"/>
  <c r="X31" s="1"/>
  <c r="AZ144" i="7" s="1"/>
  <c r="CZ31" i="1"/>
  <c r="Y31" s="1"/>
  <c r="BA144" i="7" s="1"/>
  <c r="L143" s="1"/>
  <c r="CY36" i="1"/>
  <c r="X36" s="1"/>
  <c r="AZ186" i="7" s="1"/>
  <c r="L184" s="1"/>
  <c r="CZ36" i="1"/>
  <c r="Y36" s="1"/>
  <c r="BA186" i="7" s="1"/>
  <c r="L185" s="1"/>
  <c r="V22" i="1"/>
  <c r="F66"/>
  <c r="V73"/>
  <c r="AX18"/>
  <c r="F80"/>
  <c r="BD18"/>
  <c r="F98"/>
  <c r="AC43"/>
  <c r="CZ25"/>
  <c r="Y25" s="1"/>
  <c r="BA78" i="7" s="1"/>
  <c r="L77" s="1"/>
  <c r="CY25" i="1"/>
  <c r="X25" s="1"/>
  <c r="AZ78" i="7" s="1"/>
  <c r="L76" s="1"/>
  <c r="CJ22" i="1"/>
  <c r="BA43"/>
  <c r="CZ34"/>
  <c r="Y34" s="1"/>
  <c r="BA169" i="7" s="1"/>
  <c r="L168" s="1"/>
  <c r="CY34" i="1"/>
  <c r="X34" s="1"/>
  <c r="AZ169" i="7" s="1"/>
  <c r="L167" s="1"/>
  <c r="AZ18" i="1"/>
  <c r="F84"/>
  <c r="CY40"/>
  <c r="X40" s="1"/>
  <c r="AZ229" i="7" s="1"/>
  <c r="L227" s="1"/>
  <c r="CZ40" i="1"/>
  <c r="Y40" s="1"/>
  <c r="BA229" i="7" s="1"/>
  <c r="L228" s="1"/>
  <c r="T22" i="1"/>
  <c r="F64"/>
  <c r="T73"/>
  <c r="U22"/>
  <c r="F65"/>
  <c r="U73"/>
  <c r="CP28"/>
  <c r="O28" s="1"/>
  <c r="CP31"/>
  <c r="O31" s="1"/>
  <c r="CP36"/>
  <c r="O36" s="1"/>
  <c r="CP24"/>
  <c r="O24" s="1"/>
  <c r="GM31" l="1"/>
  <c r="GN31" s="1"/>
  <c r="L224" i="7"/>
  <c r="AN229"/>
  <c r="K229"/>
  <c r="I229" s="1"/>
  <c r="AN186"/>
  <c r="K186"/>
  <c r="I186" s="1"/>
  <c r="K42"/>
  <c r="G334"/>
  <c r="L250"/>
  <c r="L58"/>
  <c r="L323"/>
  <c r="L242"/>
  <c r="L315"/>
  <c r="K40"/>
  <c r="L75"/>
  <c r="AW144"/>
  <c r="L319" s="1"/>
  <c r="L317" s="1"/>
  <c r="L138"/>
  <c r="L249"/>
  <c r="L322"/>
  <c r="L237"/>
  <c r="K41"/>
  <c r="G333"/>
  <c r="K105"/>
  <c r="I105" s="1"/>
  <c r="AN105"/>
  <c r="L324"/>
  <c r="L251"/>
  <c r="L59"/>
  <c r="AO78"/>
  <c r="K78"/>
  <c r="I78" s="1"/>
  <c r="AN78"/>
  <c r="L74"/>
  <c r="AO169"/>
  <c r="L164"/>
  <c r="K169"/>
  <c r="I169" s="1"/>
  <c r="AN169"/>
  <c r="L310"/>
  <c r="K39"/>
  <c r="L142"/>
  <c r="AN144" s="1"/>
  <c r="GM36" i="1"/>
  <c r="GN36" s="1"/>
  <c r="GM28"/>
  <c r="GN28" s="1"/>
  <c r="Q43"/>
  <c r="Q22" s="1"/>
  <c r="GM34"/>
  <c r="GN34" s="1"/>
  <c r="GM25"/>
  <c r="GN25" s="1"/>
  <c r="GM40"/>
  <c r="GN40" s="1"/>
  <c r="T18"/>
  <c r="F94"/>
  <c r="AF22"/>
  <c r="S43"/>
  <c r="AK43"/>
  <c r="GM24"/>
  <c r="AB43"/>
  <c r="U18"/>
  <c r="F95"/>
  <c r="BA22"/>
  <c r="BA73"/>
  <c r="F63"/>
  <c r="H16" i="2" s="1"/>
  <c r="AC22" i="1"/>
  <c r="P43"/>
  <c r="CE43"/>
  <c r="CF43"/>
  <c r="CH43"/>
  <c r="V18"/>
  <c r="F96"/>
  <c r="W22"/>
  <c r="F67"/>
  <c r="W73"/>
  <c r="R22"/>
  <c r="R73"/>
  <c r="F57"/>
  <c r="AL43"/>
  <c r="F55" l="1"/>
  <c r="L246" i="7"/>
  <c r="L244" s="1"/>
  <c r="K60"/>
  <c r="I60" s="1"/>
  <c r="AN60"/>
  <c r="K144"/>
  <c r="I144" s="1"/>
  <c r="L240"/>
  <c r="L238" s="1"/>
  <c r="L235" s="1"/>
  <c r="L233" s="1"/>
  <c r="L304" s="1"/>
  <c r="L306" s="1"/>
  <c r="L305" s="1"/>
  <c r="L313"/>
  <c r="L311" s="1"/>
  <c r="L308"/>
  <c r="Q73" i="1"/>
  <c r="Q18" s="1"/>
  <c r="AL22"/>
  <c r="Y43"/>
  <c r="AB22"/>
  <c r="O43"/>
  <c r="AK22"/>
  <c r="X43"/>
  <c r="R18"/>
  <c r="F87"/>
  <c r="W18"/>
  <c r="F97"/>
  <c r="CH22"/>
  <c r="AY43"/>
  <c r="CE22"/>
  <c r="AV43"/>
  <c r="BA18"/>
  <c r="F93"/>
  <c r="CF22"/>
  <c r="AW43"/>
  <c r="P22"/>
  <c r="F46"/>
  <c r="P73"/>
  <c r="GN24"/>
  <c r="CB43" s="1"/>
  <c r="CA43"/>
  <c r="S22"/>
  <c r="F58"/>
  <c r="J16" i="2" s="1"/>
  <c r="S73" i="1"/>
  <c r="F85" l="1"/>
  <c r="S18"/>
  <c r="F88"/>
  <c r="CA22"/>
  <c r="AR43"/>
  <c r="P18"/>
  <c r="F76"/>
  <c r="CB22"/>
  <c r="AS43"/>
  <c r="AW22"/>
  <c r="AW73"/>
  <c r="F49"/>
  <c r="AV22"/>
  <c r="F48"/>
  <c r="AV73"/>
  <c r="AY22"/>
  <c r="AY73"/>
  <c r="F51"/>
  <c r="X22"/>
  <c r="X73"/>
  <c r="F69"/>
  <c r="O22"/>
  <c r="F45"/>
  <c r="O73"/>
  <c r="Y22"/>
  <c r="F70"/>
  <c r="Y73"/>
  <c r="O18" l="1"/>
  <c r="F75"/>
  <c r="X18"/>
  <c r="F99"/>
  <c r="Y18"/>
  <c r="F100"/>
  <c r="AY18"/>
  <c r="F81"/>
  <c r="AV18"/>
  <c r="F78"/>
  <c r="AW18"/>
  <c r="F79"/>
  <c r="AS22"/>
  <c r="F60"/>
  <c r="AS73"/>
  <c r="AR22"/>
  <c r="F71"/>
  <c r="AR73"/>
  <c r="E16" i="2" l="1"/>
  <c r="I16" s="1"/>
  <c r="N16" s="1"/>
  <c r="C41" i="7"/>
  <c r="C38" s="1"/>
  <c r="AS18" i="1"/>
  <c r="F90"/>
  <c r="AR18"/>
  <c r="F101"/>
</calcChain>
</file>

<file path=xl/sharedStrings.xml><?xml version="1.0" encoding="utf-8"?>
<sst xmlns="http://schemas.openxmlformats.org/spreadsheetml/2006/main" count="3025" uniqueCount="528">
  <si>
    <t>Smeta.RU  (495) 974-1589</t>
  </si>
  <si>
    <t>_PS_</t>
  </si>
  <si>
    <t>Smeta.RU</t>
  </si>
  <si>
    <t/>
  </si>
  <si>
    <t>Новый объект_(Копия)_(Копия)</t>
  </si>
  <si>
    <t>Капитальный ремонт овощехранилища (устройство отмостки) ИК-7 (овощехранилище 2026 год)</t>
  </si>
  <si>
    <t>Сметные нормы списания</t>
  </si>
  <si>
    <t>Коды ценников</t>
  </si>
  <si>
    <t>ФСНБ-2022_И18</t>
  </si>
  <si>
    <t>Версия 1.18.0 для ФСНБ-2022 И18</t>
  </si>
  <si>
    <t>ФСНБ-2022 - Изменения И18</t>
  </si>
  <si>
    <t>Поправки для ФСНБ-2022 от 21.05.2026 г И18 (55/пр) Строительство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</si>
  <si>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</si>
  <si>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</si>
  <si>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Новая локальная смета</t>
  </si>
  <si>
    <t>1</t>
  </si>
  <si>
    <t>68-01-012-01</t>
  </si>
  <si>
    <t>Вырубка засохшего кустарника и поросли в прибрежной зоне</t>
  </si>
  <si>
    <t>100 м2</t>
  </si>
  <si>
    <t>ГЭСНр-2022, 68-01-012-01, приказ Минстроя России от 18.05.2022 г. № 378/пр</t>
  </si>
  <si>
    <t>Ремонтно-строительные работы</t>
  </si>
  <si>
    <t>Благоустройство</t>
  </si>
  <si>
    <t>рФЕР-68</t>
  </si>
  <si>
    <t>Пр/812-102.0-1</t>
  </si>
  <si>
    <t>Пр/774-102.0</t>
  </si>
  <si>
    <t>2</t>
  </si>
  <si>
    <t>01-01-012-21</t>
  </si>
  <si>
    <t>Разработка грунта экскаваторами с погрузкой на автомобили-самосвалы, вместимость ковша 1 (1-1,2) м3, группа грунтов: 3</t>
  </si>
  <si>
    <t>1000 м3</t>
  </si>
  <si>
    <t>ГЭСН-2022, 01-01-012-21, приказ Минстроя России от 18.05.2022 г. № 378/пр</t>
  </si>
  <si>
    <t>Общестроительные работы</t>
  </si>
  <si>
    <t>Земляные работы</t>
  </si>
  <si>
    <t>Земляные работы, выполняемые: механизированным способом</t>
  </si>
  <si>
    <t>ФЕР-01</t>
  </si>
  <si>
    <t>Поправка: 421/пр_2020_п.58_пп.б</t>
  </si>
  <si>
    <t>Пр/812-001.1-1</t>
  </si>
  <si>
    <t>Пр/774-001.1</t>
  </si>
  <si>
    <t>3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</si>
  <si>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</si>
  <si>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</si>
  <si>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1т груза</t>
  </si>
  <si>
    <t>Автомобили бортовые</t>
  </si>
  <si>
    <t>Перевозка строительных грузов автомобильным транспортом</t>
  </si>
  <si>
    <t>Перевозка строительных грузов автомобильным транспортом, тракторами и прицепами</t>
  </si>
  <si>
    <t>812/пр и 774/пр п.107</t>
  </si>
  <si>
    <t>Пр/812-107.0-1</t>
  </si>
  <si>
    <t>Пр/774-107.0</t>
  </si>
  <si>
    <t>4</t>
  </si>
  <si>
    <t>68-02-004-04</t>
  </si>
  <si>
    <t>Разборка покрытий и оснований: асфальтобетонных с помощью молотков отбойных</t>
  </si>
  <si>
    <t>100 м3</t>
  </si>
  <si>
    <t>ГЭСНр-2022 доп.18, 68-02-004-04, приказ Минстроя России от 15.05.2026 г. № 301/пр</t>
  </si>
  <si>
    <t>5</t>
  </si>
  <si>
    <t>01-02-057-03</t>
  </si>
  <si>
    <t>Разработка грунта вручную в траншеях глубиной до 2 м без креплений с откосами, группа грунтов: 3</t>
  </si>
  <si>
    <t>ГЭСН-2022, 01-02-057-03, приказ Минстроя России от 18.05.2022 г. № 378/пр</t>
  </si>
  <si>
    <t>Земляные работы, выполняемые: ручным способом</t>
  </si>
  <si>
    <t>Поправка: 421/пр_2020_прил.10_т.5_п.3_гр.3
Поправка: 421/пр_2020_п.58_пп.б</t>
  </si>
  <si>
    <t>Пр/812-001.2-1</t>
  </si>
  <si>
    <t>Пр/774-001.2</t>
  </si>
  <si>
    <t>6</t>
  </si>
  <si>
    <t>15-02-001-01</t>
  </si>
  <si>
    <t>Улучшенная штукатурка фасадов цементно-известковым раствором по камню: стен</t>
  </si>
  <si>
    <t>ГЭСН-2022 доп.17, 15-02-001-01, приказ Минстроя России от 17.02.2026 г. № 91/пр</t>
  </si>
  <si>
    <t>*1,25</t>
  </si>
  <si>
    <t>*1,15</t>
  </si>
  <si>
    <t>*0,9</t>
  </si>
  <si>
    <t>*0,85</t>
  </si>
  <si>
    <t>Отделочные работы</t>
  </si>
  <si>
    <t>ФЕР-15</t>
  </si>
  <si>
    <t>Пр/812-015.0-1</t>
  </si>
  <si>
    <t>Пр/774-015.0</t>
  </si>
  <si>
    <t>6,1</t>
  </si>
  <si>
    <t>04.3.01.09-0014</t>
  </si>
  <si>
    <t>Раствор готовый кладочный, цементный, М100</t>
  </si>
  <si>
    <t>м3</t>
  </si>
  <si>
    <t>ФСБЦ-2022, 04.3.01.09-0014, приказ Минстроя России от 18.05.2022 г. № 378/пр</t>
  </si>
  <si>
    <t>7</t>
  </si>
  <si>
    <t>08-01-003-07</t>
  </si>
  <si>
    <t>Гидроизоляция боковая обмазочная битумная в 2 слоя по выровненной поверхности бутовой кладки, кирпичу, бетону</t>
  </si>
  <si>
    <t>ГЭСН-2022 доп.6, 08-01-003-07, приказ Минстроя России от 11.05.2023 г. № 335/пр</t>
  </si>
  <si>
    <t>*(0,15+1)*1,25</t>
  </si>
  <si>
    <t>*(0,15+1)*1,15</t>
  </si>
  <si>
    <t>Конструкции из кирпича и блоков</t>
  </si>
  <si>
    <t>ФЕР-08</t>
  </si>
  <si>
    <t>Пр/812-008.0-1</t>
  </si>
  <si>
    <t>Пр/774-008.0</t>
  </si>
  <si>
    <t>7,1</t>
  </si>
  <si>
    <t>01.2.01.02-0054</t>
  </si>
  <si>
    <t>Битум нефтяной строительный БН-90/10</t>
  </si>
  <si>
    <t>т</t>
  </si>
  <si>
    <t>ФСБЦ-2022, 01.2.01.02-0054, приказ Минстроя России от 18.05.2022 г. № 378/пр</t>
  </si>
  <si>
    <t>7,2</t>
  </si>
  <si>
    <t>01.2.03.03-0103</t>
  </si>
  <si>
    <t>Мастика битумная гидроизоляционная для подземных строительных конструкций, холодная, готовая к применению, диапазон температур от -20 до +40 °C, прочность сцепления с металлом/бетоном не менее 0,1 МПа, расход для горизонтальной поверхности 1 кг/м2</t>
  </si>
  <si>
    <t>кг</t>
  </si>
  <si>
    <t>ФСБЦ-2022, 01.2.03.03-0103, приказ Минстроя России от 18.05.2022 г. № 378/пр</t>
  </si>
  <si>
    <t>8</t>
  </si>
  <si>
    <t>27-04-001-01</t>
  </si>
  <si>
    <t>Устройство подстилающих и выравнивающих слоев оснований: из песка</t>
  </si>
  <si>
    <t>ГЭСН-2022 доп.15, 27-04-001-01, приказ Минстроя России от 14.08.2025 г. № 490/пр</t>
  </si>
  <si>
    <t>Автомобильные дороги</t>
  </si>
  <si>
    <t>ФЕР-27</t>
  </si>
  <si>
    <t>Пр/812-021.0-1</t>
  </si>
  <si>
    <t>Пр/774-021.0</t>
  </si>
  <si>
    <t>8,1</t>
  </si>
  <si>
    <t>02.3.01.02-1118</t>
  </si>
  <si>
    <t>Песок природный для строительных работ II класс, средний</t>
  </si>
  <si>
    <t>ФСБЦ-2022, 02.3.01.02-1118, приказ Минстроя России от 18.05.2022 г. № 378/пр</t>
  </si>
  <si>
    <t>9</t>
  </si>
  <si>
    <t>27-04-017-01</t>
  </si>
  <si>
    <t>Устройство теплоизоляционного слоя из пенопласта</t>
  </si>
  <si>
    <t>ГЭСН-2022, 27-04-017-01, приказ Минстроя России от 18.05.2022 г. № 378/пр</t>
  </si>
  <si>
    <t>9,1</t>
  </si>
  <si>
    <t>12.2.05.09-0021</t>
  </si>
  <si>
    <t>Плиты теплоизоляционные из экструзионного пенополистирола, показатели пожарной опасности Г4, В2, Д3, Т2, плотность 16-30 кг/м3, теплопроводность при +10 °C не более 0,034 Вт/(м*К), прочность на сжатие при 10% деформации не менее 0,15 МПа, толщина 40-90 мм</t>
  </si>
  <si>
    <t>ФСБЦ-2022 доп.12, 12.2.05.09-0021, приказ Минстроя России от 07.11.2024 г. № 747/пр</t>
  </si>
  <si>
    <t>10</t>
  </si>
  <si>
    <t>06-03-004-14</t>
  </si>
  <si>
    <t>Армирование подстилающих слоев и набетонок</t>
  </si>
  <si>
    <t>ГЭСН-2022 доп.16, 06-03-004-14, приказ Минстроя России от 12.11.2025 г. № 696/пр</t>
  </si>
  <si>
    <t>Бетонные и железобетонные монолитные конструкции и работы в строительстве</t>
  </si>
  <si>
    <t>ФЕР-06</t>
  </si>
  <si>
    <t>Пр/812-006.0-1</t>
  </si>
  <si>
    <t>Пр/774-006.0</t>
  </si>
  <si>
    <t>10,1</t>
  </si>
  <si>
    <t>08.1.02.17-0091</t>
  </si>
  <si>
    <t>Сетка стальная сварная из арматурной проволоки без покрытия, диаметр проволоки 4 мм размер ячейки 100х100 мм</t>
  </si>
  <si>
    <t>м2</t>
  </si>
  <si>
    <t>ФСБЦ-2022, 08.1.02.17-0091, приказ Минстроя России от 18.05.2022 г. № 378/пр</t>
  </si>
  <si>
    <t>11</t>
  </si>
  <si>
    <t>06-01-001-01</t>
  </si>
  <si>
    <t>Устройство бетонной подготовки</t>
  </si>
  <si>
    <t>ГЭСН-2022 доп.16, 06-01-001-01, приказ Минстроя России от 12.11.2025 г. № 696/пр</t>
  </si>
  <si>
    <t>11,1</t>
  </si>
  <si>
    <t>04.1.02.05-0140</t>
  </si>
  <si>
    <t>Смеси бетонные тяжелого бетона (БСТ) на щебне из гравия, класс В20, F(1)150, W6</t>
  </si>
  <si>
    <t>ФСБЦ-2022 доп.14, 04.1.02.05-0140, приказ Минстроя России от 19.05.2025 г. № 299/пр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</si>
  <si>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</si>
  <si>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</si>
  <si>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</si>
  <si>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</si>
  <si>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</si>
  <si>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</si>
  <si>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</si>
  <si>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</si>
  <si>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</si>
  <si>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</si>
  <si>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</si>
  <si>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</si>
  <si>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</si>
  <si>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</si>
  <si>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</si>
  <si>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</si>
  <si>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</si>
  <si>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</si>
  <si>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</si>
  <si>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</si>
  <si>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</si>
  <si>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</si>
  <si>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</si>
  <si>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</si>
  <si>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</si>
  <si>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</si>
  <si>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</si>
  <si>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</si>
  <si>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</si>
  <si>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</si>
  <si>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</si>
  <si>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</si>
  <si>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</si>
  <si>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</si>
  <si>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</si>
  <si>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</si>
  <si>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</si>
  <si>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</si>
  <si>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</si>
  <si>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</si>
  <si>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</si>
  <si>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</si>
  <si>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</si>
  <si>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</si>
  <si>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</si>
  <si>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</si>
  <si>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</si>
  <si>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</si>
  <si>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</si>
  <si>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</si>
  <si>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</si>
  <si>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</si>
  <si>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</si>
  <si>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</si>
  <si>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</si>
  <si>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</si>
  <si>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</si>
  <si>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</si>
  <si>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</si>
  <si>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</si>
  <si>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</si>
  <si>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</si>
  <si>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</si>
  <si>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</si>
  <si>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</si>
  <si>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</si>
  <si>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</si>
  <si>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</si>
  <si>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</si>
  <si>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</si>
  <si>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</si>
  <si>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</si>
  <si>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</si>
  <si>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</si>
  <si>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</si>
  <si>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</si>
  <si>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</si>
  <si>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</si>
  <si>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</si>
  <si>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</si>
  <si>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</si>
  <si>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</si>
  <si>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</si>
  <si>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</si>
  <si>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</si>
  <si>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</si>
  <si>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</si>
  <si>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</si>
  <si>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</si>
  <si>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</si>
  <si>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</si>
  <si>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</si>
  <si>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</si>
  <si>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</si>
  <si>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</si>
  <si>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</si>
  <si>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</si>
  <si>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</si>
  <si>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</si>
  <si>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</si>
  <si>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</si>
  <si>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</si>
  <si>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</si>
  <si>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</si>
  <si>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</si>
  <si>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</si>
  <si>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</si>
  <si>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</si>
  <si>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</si>
  <si>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</si>
  <si>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</si>
  <si>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</si>
  <si>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</si>
  <si>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</si>
  <si>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</si>
  <si>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</si>
  <si>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</si>
  <si>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</si>
  <si>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</si>
  <si>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</si>
  <si>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</si>
  <si>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</si>
  <si>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Пензенская область, КТЦ к ФСНБ-2022, 2 квартал 2026 г</t>
  </si>
  <si>
    <t>Сборник индексов</t>
  </si>
  <si>
    <t>Пензенская область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</si>
  <si>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2026 года»</t>
  </si>
  <si>
    <t>Справочная информация</t>
  </si>
  <si>
    <t>Письмо Минстроя России от 22.05.2026 № 31076-ИФ/09</t>
  </si>
  <si>
    <t>Приказ Министерства градостроительства и архитектуры Пензенской области</t>
  </si>
  <si>
    <t>Приказ Министерства градостроительства и архитектуры Пензенской области от 06.03.2026 г. № 250/оп</t>
  </si>
  <si>
    <t>_OBSM_</t>
  </si>
  <si>
    <t>1-100-25</t>
  </si>
  <si>
    <t>Средний разряд работы 2,5</t>
  </si>
  <si>
    <t>чел.-ч.</t>
  </si>
  <si>
    <t>1-100-20</t>
  </si>
  <si>
    <t>Средний разряд работы 2,0</t>
  </si>
  <si>
    <t>4-100-00</t>
  </si>
  <si>
    <t>Затраты труда машинистов</t>
  </si>
  <si>
    <t>91.01.01-035</t>
  </si>
  <si>
    <t>ФСЭМ-2022, 91.01.01-035, приказ Минстроя России от 18.05.2022 г. № 378/пр</t>
  </si>
  <si>
    <t>Бульдозеры, мощность 79 кВт (108 л.с.)</t>
  </si>
  <si>
    <t>маш.-ч</t>
  </si>
  <si>
    <t>4-100-060</t>
  </si>
  <si>
    <t>91.01.05-087</t>
  </si>
  <si>
    <t>ФСЭМ-2022 доп.4, 91.01.05-087, приказ Минстроя России от 27.12.2022 г. № 1133/пр</t>
  </si>
  <si>
    <t>Экскаваторы одноковшовые дизельные на гусеничном ходу, объем ковша 1,0 м3</t>
  </si>
  <si>
    <t>02.2.05.04-2090</t>
  </si>
  <si>
    <t>ФСБЦ-2022, 02.2.05.04-2090, приказ Минстроя России от 18.05.2022 г. № 378/пр</t>
  </si>
  <si>
    <t>Щебень из плотных горных пород для строительных работ М 800, фракция 20-40 мм</t>
  </si>
  <si>
    <t>2-100-02</t>
  </si>
  <si>
    <t>Рабочий 2 разряда</t>
  </si>
  <si>
    <t>чел.-ч</t>
  </si>
  <si>
    <t>2-100-03</t>
  </si>
  <si>
    <t>Рабочий 3 разряда</t>
  </si>
  <si>
    <t>91.18.01-007</t>
  </si>
  <si>
    <t>ФСЭМ-2022 доп.13, 91.18.01-007, приказ Минстроя России от 07.02.2025 г. № 69/пр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</si>
  <si>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</si>
  <si>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</si>
  <si>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>91.21.10-002</t>
  </si>
  <si>
    <t>ФСЭМ-2022, 91.21.10-002, приказ Минстроя России от 18.05.2022 г. № 378/пр</t>
  </si>
  <si>
    <t>Молотки отбойные пневматические при работе от передвижных компрессоров</t>
  </si>
  <si>
    <t>1-100-40</t>
  </si>
  <si>
    <t>Средний разряд работы 4,0</t>
  </si>
  <si>
    <t>91.06.03-061</t>
  </si>
  <si>
    <t>ФСЭМ-2022, 91.06.03-061, приказ Минстроя России от 18.05.2022 г. № 378/пр</t>
  </si>
  <si>
    <t>Лебедки электрические тяговым усилием до 12,26 кН (1,25 т)</t>
  </si>
  <si>
    <t>91.07.07-011</t>
  </si>
  <si>
    <t>ФСЭМ-2022, 91.07.07-011, приказ Минстроя России от 18.05.2022 г. № 378/пр</t>
  </si>
  <si>
    <t>Растворонасосы, производительность 4 м3/ч</t>
  </si>
  <si>
    <t>01.7.03.01-0001</t>
  </si>
  <si>
    <t>ФСБЦ-2022, 01.7.03.01-0001, приказ Минстроя России от 18.05.2022 г. № 378/пр</t>
  </si>
  <si>
    <t>Вода</t>
  </si>
  <si>
    <t>1-100-39</t>
  </si>
  <si>
    <t>Средний разряд работы 3,9</t>
  </si>
  <si>
    <t>91.08.04-021</t>
  </si>
  <si>
    <t>ФСЭМ-2022, 91.08.04-021, приказ Минстроя России от 18.05.2022 г. № 378/пр</t>
  </si>
  <si>
    <t>Котлы битумные передвижные электрические с центробежной мешалкой, объем загрузочной емкости 400 л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</si>
  <si>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</si>
  <si>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</si>
  <si>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</si>
  <si>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01.3.01.03-0002</t>
  </si>
  <si>
    <t>ФСБЦ-2022 доп.8, 01.3.01.03-0002, приказ Минстроя России от 14.11.2023 г. № 817/пр</t>
  </si>
  <si>
    <t>Керосин для технических целей</t>
  </si>
  <si>
    <t>01.7.20.08-0051</t>
  </si>
  <si>
    <t>ФСБЦ-2022 доп.8, 01.7.20.08-0051, приказ Минстроя России от 14.11.2023 г. № 817/пр</t>
  </si>
  <si>
    <t>Ветошь хлопчатобумажная цветная</t>
  </si>
  <si>
    <t>1-100-23</t>
  </si>
  <si>
    <t>Средний разряд работы 2,3</t>
  </si>
  <si>
    <t>91.01.02-004</t>
  </si>
  <si>
    <t>ФСЭМ-2022 доп.11, 91.01.02-004, приказ Минстроя России от 09.08.2024 г. № 524/пр</t>
  </si>
  <si>
    <t>Автогрейдеры среднего типа, мощность 99 кВт (135 л.с.)</t>
  </si>
  <si>
    <t>91.06.05-011</t>
  </si>
  <si>
    <t>ФСЭМ-2022, 91.06.05-011, приказ Минстроя России от 18.05.2022 г. № 378/пр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</si>
  <si>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</si>
  <si>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</si>
  <si>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91.08.03-030</t>
  </si>
  <si>
    <t>ФСЭМ-2022, 91.08.03-030, приказ Минстроя России от 18.05.2022 г. № 378/пр</t>
  </si>
  <si>
    <t>Катки самоходные пневмоколесные статические, масса 30 т</t>
  </si>
  <si>
    <t>91.13.01-038</t>
  </si>
  <si>
    <t>ФСЭМ-2022, 91.13.01-038, приказ Минстроя России от 18.05.2022 г. № 378/пр</t>
  </si>
  <si>
    <t>Машины поливомоечные, вместимость цистерны 6 м3</t>
  </si>
  <si>
    <t>1-100-33</t>
  </si>
  <si>
    <t>Средний разряд работы 3,3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</si>
  <si>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</si>
  <si>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</si>
  <si>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</si>
  <si>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08.3.03.04-0012</t>
  </si>
  <si>
    <t>ФСБЦ-2022, 08.3.03.04-0012, приказ Минстроя России от 18.05.2022 г. № 378/пр</t>
  </si>
  <si>
    <t>Проволока светлая, диаметр 1,1 мм</t>
  </si>
  <si>
    <t>91.05.01-017</t>
  </si>
  <si>
    <t>ФСЭМ-2022 доп.3, 91.05.01-017, приказ Минстроя России от 26.10.2022 г. № 905/пр</t>
  </si>
  <si>
    <t>Краны башенные, грузоподъемность 8 т</t>
  </si>
  <si>
    <t>91.07.04-002</t>
  </si>
  <si>
    <t>ФСЭМ-2022 доп.4, 91.07.04-002, приказ Минстроя России от 27.12.2022 г. № 1133/пр</t>
  </si>
  <si>
    <t>Вибраторы поверхностные</t>
  </si>
  <si>
    <t>01.7.07.12-0024</t>
  </si>
  <si>
    <t>ФСБЦ-2022, 01.7.07.12-0024, приказ Минстроя России от 18.05.2022 г. № 378/пр</t>
  </si>
  <si>
    <t>Пленка полиэтиленовая, толщина 0,15 мм</t>
  </si>
  <si>
    <t>999-9900</t>
  </si>
  <si>
    <t>Строительный мусор</t>
  </si>
  <si>
    <t>04.3.01.12</t>
  </si>
  <si>
    <t>Растворы отделочные цементно-известковые</t>
  </si>
  <si>
    <t>01.2.01.02</t>
  </si>
  <si>
    <t>Битум</t>
  </si>
  <si>
    <t>01.2.03.03</t>
  </si>
  <si>
    <t>Мастика</t>
  </si>
  <si>
    <t>02.3.01.02</t>
  </si>
  <si>
    <t>Песок для строительных работ природный</t>
  </si>
  <si>
    <t>08.1.02.11-0001</t>
  </si>
  <si>
    <t>ФСБЦ-2022, 08.1.02.11-0001, приказ Минстроя России от 18.05.2022 г. № 378/пр</t>
  </si>
  <si>
    <t>Поковки из квадратных заготовок, масса 1,5-4,5 кг</t>
  </si>
  <si>
    <t>12.2.03.14</t>
  </si>
  <si>
    <t>Пенопласт ФРП-1</t>
  </si>
  <si>
    <t>08.4.03.03</t>
  </si>
  <si>
    <t>Заготовки арматурные</t>
  </si>
  <si>
    <t>04.1.02.05</t>
  </si>
  <si>
    <t>Смеси бетонные тяжелого бетона</t>
  </si>
  <si>
    <t>421/пр_2020_п.58_пп.б</t>
  </si>
  <si>
    <t>Методика 421/пр (О.П.)</t>
  </si>
  <si>
    <t>421/пр_2020_прил.10_т.5_п.3_гр.3</t>
  </si>
  <si>
    <t>Методика 421/пр (Кап. ремонт)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</si>
  <si>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</si>
  <si>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</si>
  <si>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421/пр_2020_п.58_пп.б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</si>
  <si>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разветвленной сети транспортных и инженерных коммуникаций; стесненных условий для складирования материалов; действующего технологического оборудования</t>
  </si>
  <si>
    <t>Поправка: 421/пр_2020_прил.10_т.5_п.3_гр.3
Наименование: 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разветвленной сети транспортных и инженерных коммуникаций; стесненных условий для складирования материалов; действующего технологического оборудования
Поправка: 421/пр_2020_п.58_пп.б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</si>
  <si>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</si>
  <si>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</si>
  <si>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</si>
  <si>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</si>
  <si>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</si>
  <si>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</si>
  <si>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</si>
  <si>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</si>
  <si>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</si>
  <si>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</si>
  <si>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</si>
  <si>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</si>
  <si>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</si>
  <si>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</si>
  <si>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</si>
  <si>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</si>
  <si>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</si>
  <si>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</si>
  <si>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</si>
  <si>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</si>
  <si>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</si>
  <si>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</si>
  <si>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</si>
  <si>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</si>
  <si>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</si>
  <si>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</si>
  <si>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</si>
  <si>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</si>
  <si>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</si>
  <si>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</si>
  <si>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</si>
  <si>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</si>
  <si>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</si>
  <si>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</si>
  <si>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</si>
  <si>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</si>
  <si>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</si>
  <si>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ФГИС ЦС, конъюнктурный анализ</t>
  </si>
  <si>
    <t>Ресурсно-индексным</t>
  </si>
  <si>
    <t>Составлен(а) в текущем уровне цен на июнь 2026 года</t>
  </si>
  <si>
    <t>ГЭСНр 68-01-012-01</t>
  </si>
  <si>
    <t>ОТ (ЗТ)</t>
  </si>
  <si>
    <t>Итого прямые затраты</t>
  </si>
  <si>
    <t>ФОТ</t>
  </si>
  <si>
    <t>НР Благоустройство</t>
  </si>
  <si>
    <t>%</t>
  </si>
  <si>
    <t>СП Благоустройство</t>
  </si>
  <si>
    <t>Всего по позиции</t>
  </si>
  <si>
    <t>=</t>
  </si>
  <si>
    <t>ГЭСН 01-01-012-21</t>
  </si>
  <si>
    <t>ЭМ</t>
  </si>
  <si>
    <t>ОТм(ЗТм) Средний разряд машинистов 6</t>
  </si>
  <si>
    <t>ОТм(ЗТм)</t>
  </si>
  <si>
    <t>М</t>
  </si>
  <si>
    <t>НР Земляные работы, выполняемые: механизированным способом</t>
  </si>
  <si>
    <t>СП Земляные работы, выполняемые: механизированным способом</t>
  </si>
  <si>
    <t>ГЭСНр 68-02-004-04</t>
  </si>
  <si>
    <t>ОТм(ЗТм) Средний разряд машинистов 4</t>
  </si>
  <si>
    <t>ГЭСН 01-02-057-03</t>
  </si>
  <si>
    <t>НР Земляные работы, выполняемые: ручным способом</t>
  </si>
  <si>
    <t>СП Земляные работы, выполняемые: ручным способом</t>
  </si>
  <si>
    <t>ГЭСН 15-02-001-01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</si>
  <si>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
ЭМ *1,25; ЗТ *1,15; ЗТм *1,25; НР *0,9; СП *0,85</t>
  </si>
  <si>
    <t>6.1</t>
  </si>
  <si>
    <t>Пр/812-015.0-1;_x000D_
п.25</t>
  </si>
  <si>
    <t>НР Отделочные работы</t>
  </si>
  <si>
    <t>Пр/774-015.0;_x000D_
п.16</t>
  </si>
  <si>
    <t>СП Отделочные работы</t>
  </si>
  <si>
    <t>ГЭСН 08-01-003-07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</si>
  <si>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 разветвленной сети транспортных и инженерных коммуникаций; стесненных условий для складирования материалов; действующего технологического оборудования
ЭМ *1,15; ЗТ *1,15; ЗТм *1,15</t>
  </si>
  <si>
    <t>Результирующие коэффициенты: 
ЭМ (0,15+1)*1,25=1,4375;
ЗТ (0,15+1)*1,15=1,3225;
ЗТм (0,15+1)*1,25=1,4375;
НР 0,9;
СП 0,85</t>
  </si>
  <si>
    <t>7.1</t>
  </si>
  <si>
    <t>7.2</t>
  </si>
  <si>
    <t>Пр/812-008.0-1;_x000D_
п.25</t>
  </si>
  <si>
    <t>НР Конструкции из кирпича и блоков</t>
  </si>
  <si>
    <t>Пр/774-008.0;_x000D_
п.16</t>
  </si>
  <si>
    <t>СП Конструкции из кирпича и блоков</t>
  </si>
  <si>
    <t>ГЭСН 27-04-001-01</t>
  </si>
  <si>
    <t>ОТм(ЗТм) Средний разряд машинистов 5</t>
  </si>
  <si>
    <t>8.1</t>
  </si>
  <si>
    <t>Пр/812-021.0-1;_x000D_
п.25</t>
  </si>
  <si>
    <t>НР Автомобильные дороги</t>
  </si>
  <si>
    <t>Пр/774-021.0;_x000D_
п.16</t>
  </si>
  <si>
    <t>СП Автомобильные дороги</t>
  </si>
  <si>
    <t>ГЭСН 27-04-017-01</t>
  </si>
  <si>
    <t>9.1</t>
  </si>
  <si>
    <t>ГЭСН 06-03-004-14</t>
  </si>
  <si>
    <t>10.1</t>
  </si>
  <si>
    <t>Пр/812-006.0-1;_x000D_
п.25</t>
  </si>
  <si>
    <t>НР Бетонные и железобетонные монолитные конструкции и работы в строительстве</t>
  </si>
  <si>
    <t>Пр/774-006.0;_x000D_
п.16</t>
  </si>
  <si>
    <t>СП Бетонные и железобетонные монолитные конструкции и работы в строительстве</t>
  </si>
  <si>
    <t>ГЭСН 06-01-001-01</t>
  </si>
  <si>
    <t>11.1</t>
  </si>
  <si>
    <t>ИТОГИ ПО СМЕТЕ</t>
  </si>
  <si>
    <t>ВСЕГО строительные работы</t>
  </si>
  <si>
    <t>в том числе</t>
  </si>
  <si>
    <t>Всего прямые затраты</t>
  </si>
  <si>
    <t xml:space="preserve">  оплата труда (ОТ)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</si>
  <si>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</si>
  <si>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</si>
  <si>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</si>
  <si>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</si>
  <si>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</si>
  <si>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</si>
  <si>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</si>
  <si>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</si>
  <si>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ФОТ (справочно)</t>
  </si>
  <si>
    <t>накладные расходы</t>
  </si>
  <si>
    <t>сметная прибыль</t>
  </si>
  <si>
    <t xml:space="preserve">  оплата труда машинистов (ОТм)</t>
  </si>
  <si>
    <t>ВСЕГО монтажные работы</t>
  </si>
  <si>
    <t>ВСЕГО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</si>
  <si>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</si>
  <si>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</si>
  <si>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</si>
  <si>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</si>
  <si>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</si>
  <si>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</si>
  <si>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</si>
  <si>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</si>
  <si>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ФОТ (справочно)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</si>
  <si>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</si>
  <si>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</si>
  <si>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</si>
  <si>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</si>
  <si>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</si>
  <si>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</si>
  <si>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</si>
  <si>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</si>
  <si>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</si>
  <si>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Составил   </t>
  </si>
  <si>
    <t>[должность,подпись(инициалы,фамилия)]</t>
  </si>
  <si>
    <t xml:space="preserve">Проверил   </t>
  </si>
  <si>
    <t>НДС 22%</t>
  </si>
  <si>
    <t>Итого по смете</t>
  </si>
  <si>
    <t>Инженер ОКсиР</t>
  </si>
  <si>
    <t>А.Н. Агафонов</t>
  </si>
  <si>
    <t>Заместитель начальника</t>
  </si>
  <si>
    <t>П.А.. Ткаченко</t>
  </si>
  <si>
    <t>Капитальный ремонт овощехранилище (устройство отмостки)</t>
  </si>
  <si>
    <t>Приложение №1к</t>
  </si>
  <si>
    <t xml:space="preserve">государственному </t>
  </si>
  <si>
    <t>контракту №________2026г.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</si>
</sst>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#,##0.00;[Red]\-\ #,##0.00"/>
    <numFmt numFmtId="166" formatCode="#,##0.00#####;[Red]\-\ #,##0.00#####"/>
  </numFmts>
  <fonts count="26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NumberFormat="1" applyFont="1" applyAlignment="1"/>
    <xf numFmtId="0" fontId="9" fillId="0" borderId="0" xfId="0" applyNumberFormat="1" applyFont="1" applyAlignment="1">
      <alignment vertical="top" wrapText="1"/>
    </xf>
    <xf numFmtId="0" fontId="9" fillId="0" borderId="2" xfId="0" applyNumberFormat="1" applyFont="1" applyBorder="1" applyAlignment="1">
      <alignment vertical="top"/>
    </xf>
    <xf numFmtId="0" fontId="9" fillId="0" borderId="0" xfId="0" applyNumberFormat="1" applyFont="1" applyAlignment="1">
      <alignment horizontal="left" vertical="top" wrapText="1"/>
    </xf>
    <xf numFmtId="0" fontId="9" fillId="0" borderId="2" xfId="0" applyNumberFormat="1" applyFont="1" applyBorder="1" applyAlignment="1">
      <alignment horizontal="left" vertical="top" wrapText="1"/>
    </xf>
    <xf numFmtId="0" fontId="10" fillId="0" borderId="0" xfId="0" applyNumberFormat="1" applyFont="1" applyAlignment="1"/>
    <xf numFmtId="0" fontId="10" fillId="0" borderId="2" xfId="0" applyNumberFormat="1" applyFont="1" applyBorder="1" applyAlignment="1"/>
    <xf numFmtId="0" fontId="16" fillId="0" borderId="0" xfId="0" applyNumberFormat="1" applyFont="1" applyAlignment="1"/>
    <xf numFmtId="0" fontId="16" fillId="0" borderId="0" xfId="0" applyNumberFormat="1" applyFont="1" applyAlignment="1">
      <alignment wrapText="1"/>
    </xf>
    <xf numFmtId="0" fontId="17" fillId="0" borderId="0" xfId="0" applyNumberFormat="1" applyFont="1" applyAlignment="1">
      <alignment vertical="center" wrapText="1"/>
    </xf>
    <xf numFmtId="0" fontId="17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2" xfId="0" applyNumberFormat="1" applyFont="1" applyBorder="1" applyAlignment="1"/>
    <xf numFmtId="0" fontId="9" fillId="0" borderId="0" xfId="0" applyNumberFormat="1" applyFont="1" applyAlignment="1">
      <alignment horizontal="left" wrapText="1"/>
    </xf>
    <xf numFmtId="0" fontId="9" fillId="0" borderId="0" xfId="0" applyNumberFormat="1" applyFont="1" applyAlignment="1">
      <alignment wrapText="1"/>
    </xf>
    <xf numFmtId="0" fontId="12" fillId="0" borderId="0" xfId="0" applyNumberFormat="1" applyFont="1" applyAlignment="1"/>
    <xf numFmtId="14" fontId="16" fillId="0" borderId="0" xfId="0" applyNumberFormat="1" applyFont="1" applyAlignment="1"/>
    <xf numFmtId="0" fontId="9" fillId="0" borderId="0" xfId="0" applyNumberFormat="1" applyFont="1" applyAlignment="1">
      <alignment horizontal="right"/>
    </xf>
    <xf numFmtId="0" fontId="14" fillId="0" borderId="0" xfId="0" applyNumberFormat="1" applyFont="1" applyAlignment="1"/>
    <xf numFmtId="164" fontId="9" fillId="0" borderId="0" xfId="0" applyNumberFormat="1" applyFont="1" applyAlignment="1">
      <alignment horizontal="right"/>
    </xf>
    <xf numFmtId="0" fontId="16" fillId="0" borderId="1" xfId="0" applyNumberFormat="1" applyFont="1" applyBorder="1" applyAlignment="1"/>
    <xf numFmtId="0" fontId="9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left" vertical="top" wrapText="1"/>
    </xf>
    <xf numFmtId="0" fontId="19" fillId="0" borderId="0" xfId="0" quotePrefix="1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right" vertical="top" wrapText="1"/>
    </xf>
    <xf numFmtId="165" fontId="19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 wrapText="1"/>
    </xf>
    <xf numFmtId="166" fontId="19" fillId="0" borderId="0" xfId="0" applyNumberFormat="1" applyFont="1" applyAlignment="1">
      <alignment horizontal="right" vertical="top"/>
    </xf>
    <xf numFmtId="165" fontId="21" fillId="0" borderId="0" xfId="0" applyNumberFormat="1" applyFont="1" applyAlignment="1">
      <alignment horizontal="right" vertical="top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vertical="top"/>
    </xf>
    <xf numFmtId="165" fontId="19" fillId="0" borderId="1" xfId="0" applyNumberFormat="1" applyFont="1" applyBorder="1" applyAlignment="1">
      <alignment horizontal="right" vertical="top"/>
    </xf>
    <xf numFmtId="0" fontId="19" fillId="0" borderId="1" xfId="0" applyFont="1" applyBorder="1" applyAlignment="1">
      <alignment horizontal="right" vertical="top" wrapText="1"/>
    </xf>
    <xf numFmtId="165" fontId="0" fillId="0" borderId="0" xfId="0" applyNumberFormat="1"/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19" fillId="0" borderId="1" xfId="0" quotePrefix="1" applyFont="1" applyBorder="1" applyAlignment="1">
      <alignment horizontal="left" vertical="top" wrapText="1"/>
    </xf>
    <xf numFmtId="0" fontId="22" fillId="0" borderId="0" xfId="0" quotePrefix="1" applyFont="1" applyAlignment="1">
      <alignment vertical="top" wrapText="1"/>
    </xf>
    <xf numFmtId="0" fontId="23" fillId="0" borderId="0" xfId="0" quotePrefix="1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 wrapText="1"/>
    </xf>
    <xf numFmtId="165" fontId="21" fillId="0" borderId="2" xfId="0" applyNumberFormat="1" applyFont="1" applyBorder="1" applyAlignment="1">
      <alignment horizontal="right" vertical="top"/>
    </xf>
    <xf numFmtId="0" fontId="21" fillId="0" borderId="2" xfId="0" applyFont="1" applyBorder="1" applyAlignment="1">
      <alignment horizontal="right" vertical="top"/>
    </xf>
    <xf numFmtId="165" fontId="9" fillId="0" borderId="0" xfId="0" applyNumberFormat="1" applyFont="1" applyAlignment="1">
      <alignment horizontal="right"/>
    </xf>
    <xf numFmtId="165" fontId="9" fillId="0" borderId="0" xfId="0" applyNumberFormat="1" applyFont="1" applyAlignment="1"/>
    <xf numFmtId="165" fontId="10" fillId="0" borderId="0" xfId="0" applyNumberFormat="1" applyFont="1" applyAlignment="1"/>
    <xf numFmtId="166" fontId="10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 vertical="center"/>
    </xf>
    <xf numFmtId="0" fontId="16" fillId="0" borderId="0" xfId="0" applyNumberFormat="1" applyFont="1" applyAlignment="1">
      <alignment horizontal="left"/>
    </xf>
    <xf numFmtId="0" fontId="16" fillId="0" borderId="1" xfId="0" applyNumberFormat="1" applyFont="1" applyBorder="1" applyAlignment="1">
      <alignment horizontal="left"/>
    </xf>
    <xf numFmtId="0" fontId="16" fillId="0" borderId="0" xfId="0" applyNumberFormat="1" applyFont="1" applyAlignment="1">
      <alignment horizontal="right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vertical="top" wrapText="1"/>
    </xf>
    <xf numFmtId="0" fontId="24" fillId="0" borderId="2" xfId="0" applyNumberFormat="1" applyFont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16" fillId="0" borderId="0" xfId="0" applyNumberFormat="1" applyFont="1" applyBorder="1" applyAlignment="1"/>
    <xf numFmtId="0" fontId="20" fillId="0" borderId="0" xfId="0" applyFont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165" fontId="21" fillId="0" borderId="0" xfId="0" applyNumberFormat="1" applyFont="1" applyAlignment="1">
      <alignment horizontal="left" vertical="top"/>
    </xf>
    <xf numFmtId="165" fontId="21" fillId="0" borderId="2" xfId="0" applyNumberFormat="1" applyFont="1" applyBorder="1" applyAlignment="1">
      <alignment horizontal="right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/>
    </xf>
    <xf numFmtId="0" fontId="25" fillId="0" borderId="1" xfId="0" applyNumberFormat="1" applyFont="1" applyBorder="1" applyAlignment="1">
      <alignment horizontal="center" wrapText="1"/>
    </xf>
    <xf numFmtId="0" fontId="15" fillId="0" borderId="2" xfId="0" applyNumberFormat="1" applyFont="1" applyBorder="1" applyAlignment="1">
      <alignment horizontal="center" vertical="top" wrapText="1"/>
    </xf>
    <xf numFmtId="0" fontId="13" fillId="0" borderId="0" xfId="0" applyNumberFormat="1" applyFont="1" applyAlignment="1">
      <alignment horizontal="center" wrapText="1"/>
    </xf>
    <xf numFmtId="0" fontId="18" fillId="0" borderId="1" xfId="0" applyNumberFormat="1" applyFont="1" applyBorder="1" applyAlignment="1">
      <alignment horizontal="center" wrapText="1"/>
    </xf>
    <xf numFmtId="0" fontId="9" fillId="0" borderId="1" xfId="0" applyNumberFormat="1" applyFont="1" applyBorder="1" applyAlignment="1">
      <alignment horizontal="left" wrapText="1"/>
    </xf>
    <xf numFmtId="0" fontId="13" fillId="0" borderId="1" xfId="0" applyNumberFormat="1" applyFont="1" applyBorder="1" applyAlignment="1">
      <alignment horizontal="center" wrapText="1"/>
    </xf>
    <xf numFmtId="0" fontId="9" fillId="0" borderId="0" xfId="0" applyNumberFormat="1" applyFont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W342"/>
  <sheetViews>
    <sheetView tabSelected="1" topLeftCell="A64" workbookViewId="0">
      <selection activeCell="F8" sqref="F8:L8"/>
    </sheetView>
  </sheetViews>
  <sheetFormatPr defaultRowHeight="12.75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9" width="15.7109375" customWidth="1"/>
    <col min="10" max="10" width="17" customWidth="1"/>
    <col min="11" max="11" width="30.42578125" customWidth="1"/>
    <col min="12" max="12" width="15.7109375" customWidth="1"/>
    <col min="15" max="92" width="0" hidden="1" customWidth="1"/>
    <col min="93" max="93" width="108.7109375" hidden="1" customWidth="1"/>
    <col min="94" max="100" width="0" hidden="1" customWidth="1"/>
    <col min="101" max="101" width="83.7109375" hidden="1" customWidth="1"/>
  </cols>
  <sheetData>
    <row r="2" spans="1:93">
      <c r="J2" t="s">
        <v>525</v>
      </c>
    </row>
    <row r="3" spans="1:93">
      <c r="J3" t="s">
        <v>526</v>
      </c>
      <c r="K3" t="s">
        <v>527</v>
      </c>
    </row>
    <row r="5" spans="1:93" ht="12.75" customHeight="1">
      <c r="A5" s="15"/>
      <c r="B5" s="15"/>
      <c r="C5" s="15"/>
      <c r="D5" s="15"/>
      <c r="E5" s="15"/>
      <c r="F5" s="16"/>
      <c r="G5" s="16"/>
      <c r="H5" s="16"/>
      <c r="I5" s="16"/>
      <c r="J5" s="16"/>
      <c r="K5" s="16"/>
      <c r="L5" s="16"/>
    </row>
    <row r="6" spans="1:93" ht="140.25" customHeight="1">
      <c r="A6" s="112" t="s">
        <v>384</v>
      </c>
      <c r="B6" s="112"/>
      <c r="C6" s="112"/>
      <c r="D6" s="112"/>
      <c r="E6" s="112"/>
      <c r="F6" s="113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6" s="113"/>
      <c r="H6" s="113"/>
      <c r="I6" s="113"/>
      <c r="J6" s="113"/>
      <c r="K6" s="113"/>
      <c r="L6" s="113"/>
      <c r="CO6" s="41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2.75" customHeight="1">
      <c r="A7" s="15"/>
      <c r="B7" s="15"/>
      <c r="C7" s="15"/>
      <c r="D7" s="15"/>
      <c r="E7" s="15"/>
      <c r="F7" s="16"/>
      <c r="G7" s="16"/>
      <c r="H7" s="16"/>
      <c r="I7" s="16"/>
      <c r="J7" s="16"/>
      <c r="K7" s="16"/>
      <c r="L7" s="16"/>
    </row>
    <row r="8" spans="1:93" ht="76.5" customHeight="1">
      <c r="A8" s="112" t="s">
        <v>385</v>
      </c>
      <c r="B8" s="112"/>
      <c r="C8" s="112"/>
      <c r="D8" s="112"/>
      <c r="E8" s="112"/>
      <c r="F8" s="113" t="s">
        <v>265</v>
      </c>
      <c r="G8" s="113"/>
      <c r="H8" s="113"/>
      <c r="I8" s="113"/>
      <c r="J8" s="113"/>
      <c r="K8" s="113"/>
      <c r="L8" s="113"/>
    </row>
    <row r="9" spans="1:93" ht="12.75" customHeight="1">
      <c r="A9" s="15"/>
      <c r="B9" s="15"/>
      <c r="C9" s="15"/>
      <c r="D9" s="15"/>
      <c r="E9" s="15"/>
      <c r="F9" s="16"/>
      <c r="G9" s="16"/>
      <c r="H9" s="16"/>
      <c r="I9" s="16"/>
      <c r="J9" s="16"/>
      <c r="K9" s="16"/>
      <c r="L9" s="16"/>
    </row>
    <row r="10" spans="1:93" ht="38.25" customHeight="1">
      <c r="A10" s="112" t="s">
        <v>386</v>
      </c>
      <c r="B10" s="112"/>
      <c r="C10" s="112"/>
      <c r="D10" s="112"/>
      <c r="E10" s="112"/>
      <c r="F10" s="113" t="s">
        <v>267</v>
      </c>
      <c r="G10" s="113"/>
      <c r="H10" s="113"/>
      <c r="I10" s="113"/>
      <c r="J10" s="113"/>
      <c r="K10" s="113"/>
      <c r="L10" s="113"/>
    </row>
    <row r="11" spans="1:93" ht="12.75" customHeight="1">
      <c r="A11" s="17"/>
      <c r="B11" s="17"/>
      <c r="C11" s="17"/>
      <c r="D11" s="17"/>
      <c r="E11" s="17"/>
      <c r="F11" s="18"/>
      <c r="G11" s="18"/>
      <c r="H11" s="18"/>
      <c r="I11" s="18"/>
      <c r="J11" s="18"/>
      <c r="K11" s="18"/>
      <c r="L11" s="18"/>
    </row>
    <row r="12" spans="1:93" ht="12.75" customHeight="1">
      <c r="A12" s="112" t="s">
        <v>387</v>
      </c>
      <c r="B12" s="112"/>
      <c r="C12" s="112"/>
      <c r="D12" s="112"/>
      <c r="E12" s="112"/>
      <c r="F12" s="113" t="s">
        <v>421</v>
      </c>
      <c r="G12" s="113"/>
      <c r="H12" s="113"/>
      <c r="I12" s="113"/>
      <c r="J12" s="113"/>
      <c r="K12" s="113"/>
      <c r="L12" s="113"/>
    </row>
    <row r="13" spans="1:93" ht="12.75" customHeight="1">
      <c r="A13" s="17"/>
      <c r="B13" s="17"/>
      <c r="C13" s="17"/>
      <c r="D13" s="17"/>
      <c r="E13" s="17"/>
      <c r="F13" s="18"/>
      <c r="G13" s="18"/>
      <c r="H13" s="18"/>
      <c r="I13" s="18"/>
      <c r="J13" s="18"/>
      <c r="K13" s="18"/>
      <c r="L13" s="18"/>
    </row>
    <row r="14" spans="1:93" ht="12.75" customHeight="1">
      <c r="A14" s="112" t="s">
        <v>388</v>
      </c>
      <c r="B14" s="112"/>
      <c r="C14" s="112"/>
      <c r="D14" s="112"/>
      <c r="E14" s="112"/>
      <c r="F14" s="113" t="str">
        <f>IF(Source!CZ12 &lt;&gt; "", Source!CZ12, "")</f>
        <v/>
      </c>
      <c r="G14" s="113"/>
      <c r="H14" s="113"/>
      <c r="I14" s="113"/>
      <c r="J14" s="113"/>
      <c r="K14" s="113"/>
      <c r="L14" s="113"/>
    </row>
    <row r="15" spans="1:93" ht="12.75" customHeight="1">
      <c r="A15" s="17"/>
      <c r="B15" s="17"/>
      <c r="C15" s="17"/>
      <c r="D15" s="17"/>
      <c r="E15" s="17"/>
      <c r="F15" s="18"/>
      <c r="G15" s="18"/>
      <c r="H15" s="18"/>
      <c r="I15" s="18"/>
      <c r="J15" s="18"/>
      <c r="K15" s="18"/>
      <c r="L15" s="16"/>
    </row>
    <row r="16" spans="1:93" ht="12.75" customHeight="1">
      <c r="A16" s="112" t="s">
        <v>389</v>
      </c>
      <c r="B16" s="112"/>
      <c r="C16" s="112"/>
      <c r="D16" s="112"/>
      <c r="E16" s="112"/>
      <c r="F16" s="113" t="str">
        <f>IF(Source!DA12 &lt;&gt; "", Source!DA12, "")</f>
        <v/>
      </c>
      <c r="G16" s="113"/>
      <c r="H16" s="113"/>
      <c r="I16" s="113"/>
      <c r="J16" s="113"/>
      <c r="K16" s="113"/>
      <c r="L16" s="113"/>
    </row>
    <row r="17" spans="1:12" ht="12.75" customHeight="1">
      <c r="A17" s="19"/>
      <c r="B17" s="19"/>
      <c r="C17" s="19"/>
      <c r="D17" s="19"/>
      <c r="E17" s="19"/>
      <c r="F17" s="20"/>
      <c r="G17" s="20"/>
      <c r="H17" s="20"/>
      <c r="I17" s="20"/>
      <c r="J17" s="20"/>
      <c r="K17" s="20"/>
      <c r="L17" s="20"/>
    </row>
    <row r="18" spans="1:12" ht="12.7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5.75" customHeight="1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</row>
    <row r="20" spans="1:12" ht="14.25" customHeight="1">
      <c r="A20" s="107" t="s">
        <v>390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</row>
    <row r="21" spans="1:12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15.75" customHeight="1">
      <c r="A22" s="106" t="s">
        <v>524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</row>
    <row r="23" spans="1:12" ht="14.25" customHeight="1">
      <c r="A23" s="107" t="s">
        <v>391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2" ht="14.25" customHeight="1">
      <c r="A24" s="21"/>
      <c r="B24" s="21"/>
      <c r="C24" s="21"/>
      <c r="D24" s="21"/>
      <c r="E24" s="21"/>
      <c r="F24" s="22"/>
      <c r="G24" s="22"/>
      <c r="H24" s="22"/>
      <c r="I24" s="22"/>
      <c r="J24" s="22"/>
      <c r="K24" s="22"/>
      <c r="L24" s="22"/>
    </row>
    <row r="25" spans="1:12" ht="15.75" customHeight="1">
      <c r="A25" s="108" t="str">
        <f>CONCATENATE( "ЛОКАЛЬНЫЙ СМЕТНЫЙ РАСЧЕТ № ", Source!L20, " ",Source!CM20)</f>
        <v xml:space="preserve">ЛОКАЛЬНЫЙ СМЕТНЫЙ РАСЧЕТ № Новая локальная смета 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</row>
    <row r="26" spans="1:12" ht="15" customHeight="1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3"/>
    </row>
    <row r="27" spans="1:12" ht="18" customHeight="1">
      <c r="A27" s="109" t="str">
        <f>IF(Source!G20&lt;&gt;"Новая локальная смета", Source!G20, "")</f>
        <v/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</row>
    <row r="28" spans="1:12" ht="14.25" customHeight="1">
      <c r="A28" s="107" t="s">
        <v>392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</row>
    <row r="29" spans="1:12" ht="14.2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4.2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ht="12.75" customHeight="1">
      <c r="A31" s="14" t="s">
        <v>393</v>
      </c>
      <c r="B31" s="14"/>
      <c r="C31" s="26" t="s">
        <v>422</v>
      </c>
      <c r="D31" s="14" t="s">
        <v>394</v>
      </c>
      <c r="E31" s="14"/>
      <c r="F31" s="14"/>
      <c r="G31" s="14"/>
      <c r="H31" s="14"/>
      <c r="I31" s="14"/>
      <c r="J31" s="14"/>
      <c r="K31" s="14"/>
      <c r="L31" s="14"/>
    </row>
    <row r="32" spans="1:12" ht="12.75" customHeight="1">
      <c r="A32" s="14"/>
      <c r="B32" s="14"/>
      <c r="C32" s="27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12.75" customHeight="1">
      <c r="A33" s="14" t="s">
        <v>395</v>
      </c>
      <c r="B33" s="14"/>
      <c r="C33" s="110"/>
      <c r="D33" s="110"/>
      <c r="E33" s="110"/>
      <c r="F33" s="110"/>
      <c r="G33" s="110"/>
      <c r="H33" s="110"/>
      <c r="I33" s="110"/>
      <c r="J33" s="110"/>
      <c r="K33" s="110"/>
      <c r="L33" s="110"/>
    </row>
    <row r="34" spans="1:12" ht="12.75" customHeight="1">
      <c r="A34" s="28"/>
      <c r="B34" s="29"/>
      <c r="C34" s="107" t="s">
        <v>396</v>
      </c>
      <c r="D34" s="107"/>
      <c r="E34" s="107"/>
      <c r="F34" s="107"/>
      <c r="G34" s="107"/>
      <c r="H34" s="107"/>
      <c r="I34" s="107"/>
      <c r="J34" s="107"/>
      <c r="K34" s="107"/>
      <c r="L34" s="107"/>
    </row>
    <row r="35" spans="1:12" ht="14.25" customHeight="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2" ht="14.25" customHeight="1">
      <c r="A36" s="30" t="s">
        <v>423</v>
      </c>
      <c r="B36" s="21"/>
      <c r="C36" s="21"/>
      <c r="D36" s="31"/>
      <c r="E36" s="21"/>
      <c r="F36" s="21"/>
      <c r="G36" s="21"/>
      <c r="H36" s="21"/>
      <c r="I36" s="21"/>
      <c r="J36" s="21"/>
      <c r="K36" s="21"/>
      <c r="L36" s="21"/>
    </row>
    <row r="37" spans="1:12" ht="14.25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ht="14.25" customHeight="1">
      <c r="A38" s="30" t="s">
        <v>397</v>
      </c>
      <c r="B38" s="21"/>
      <c r="C38" s="104">
        <f>C41+C42+C43+C44</f>
        <v>216.72</v>
      </c>
      <c r="D38" s="105"/>
      <c r="E38" s="14" t="s">
        <v>398</v>
      </c>
      <c r="F38" s="19"/>
      <c r="G38" s="19"/>
      <c r="H38" s="19"/>
      <c r="I38" s="19"/>
      <c r="J38" s="19"/>
      <c r="K38" s="19"/>
      <c r="L38" s="21"/>
    </row>
    <row r="39" spans="1:12" ht="14.25" customHeight="1">
      <c r="A39" s="30"/>
      <c r="B39" s="21"/>
      <c r="C39" s="72"/>
      <c r="D39" s="32"/>
      <c r="E39" s="14"/>
      <c r="F39" s="19"/>
      <c r="G39" s="14" t="s">
        <v>399</v>
      </c>
      <c r="H39" s="21"/>
      <c r="I39" s="14"/>
      <c r="J39" s="14"/>
      <c r="K39" s="74">
        <f>ROUND(SUM(AR52:AR335)/1000, 2)</f>
        <v>33.630000000000003</v>
      </c>
      <c r="L39" s="14" t="s">
        <v>398</v>
      </c>
    </row>
    <row r="40" spans="1:12" ht="14.25" customHeight="1">
      <c r="A40" s="21"/>
      <c r="B40" s="33" t="s">
        <v>400</v>
      </c>
      <c r="C40" s="73"/>
      <c r="D40" s="21"/>
      <c r="E40" s="14"/>
      <c r="F40" s="19"/>
      <c r="G40" s="14" t="s">
        <v>401</v>
      </c>
      <c r="H40" s="21"/>
      <c r="I40" s="14"/>
      <c r="J40" s="14"/>
      <c r="K40" s="74">
        <f>ROUND(SUM(AT52:AT335)/1000, 2)</f>
        <v>2.16</v>
      </c>
      <c r="L40" s="14" t="s">
        <v>398</v>
      </c>
    </row>
    <row r="41" spans="1:12" ht="14.25" customHeight="1">
      <c r="A41" s="21"/>
      <c r="B41" s="30" t="s">
        <v>402</v>
      </c>
      <c r="C41" s="104">
        <f>ROUND((Source!F60)/1000, 2)</f>
        <v>216.72</v>
      </c>
      <c r="D41" s="105"/>
      <c r="E41" s="14" t="s">
        <v>398</v>
      </c>
      <c r="F41" s="19"/>
      <c r="G41" s="14" t="s">
        <v>403</v>
      </c>
      <c r="H41" s="21"/>
      <c r="I41" s="14"/>
      <c r="J41" s="32"/>
      <c r="K41" s="75">
        <f>Source!F65</f>
        <v>94.508183200000005</v>
      </c>
      <c r="L41" s="14" t="s">
        <v>271</v>
      </c>
    </row>
    <row r="42" spans="1:12" ht="14.25" customHeight="1">
      <c r="A42" s="21"/>
      <c r="B42" s="30" t="s">
        <v>404</v>
      </c>
      <c r="C42" s="104">
        <f>ROUND((Source!F61)/1000, 2)</f>
        <v>0</v>
      </c>
      <c r="D42" s="105"/>
      <c r="E42" s="14" t="s">
        <v>398</v>
      </c>
      <c r="F42" s="19"/>
      <c r="G42" s="14" t="s">
        <v>405</v>
      </c>
      <c r="H42" s="21"/>
      <c r="I42" s="14"/>
      <c r="J42" s="34"/>
      <c r="K42" s="75">
        <f>Source!F66</f>
        <v>4.3895453</v>
      </c>
      <c r="L42" s="14" t="s">
        <v>271</v>
      </c>
    </row>
    <row r="43" spans="1:12" ht="14.25" customHeight="1">
      <c r="A43" s="21"/>
      <c r="B43" s="30" t="s">
        <v>406</v>
      </c>
      <c r="C43" s="104">
        <f>ROUND((Source!F52)/1000, 2)</f>
        <v>0</v>
      </c>
      <c r="D43" s="105"/>
      <c r="E43" s="14" t="s">
        <v>398</v>
      </c>
      <c r="F43" s="19"/>
      <c r="G43" s="14"/>
      <c r="H43" s="14"/>
      <c r="I43" s="14"/>
      <c r="J43" s="14"/>
      <c r="K43" s="19"/>
      <c r="L43" s="14"/>
    </row>
    <row r="44" spans="1:12" ht="14.25" customHeight="1">
      <c r="A44" s="21"/>
      <c r="B44" s="30" t="s">
        <v>407</v>
      </c>
      <c r="C44" s="104">
        <f>ROUND((Source!F62)/1000, 2)</f>
        <v>0</v>
      </c>
      <c r="D44" s="105"/>
      <c r="E44" s="14" t="s">
        <v>398</v>
      </c>
      <c r="F44" s="19"/>
      <c r="G44" s="14"/>
      <c r="H44" s="14"/>
      <c r="I44" s="14"/>
      <c r="J44" s="14"/>
      <c r="K44" s="19"/>
      <c r="L44" s="14"/>
    </row>
    <row r="45" spans="1:12" ht="14.25" customHeight="1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2" ht="12.75" customHeight="1">
      <c r="A46" s="92" t="s">
        <v>408</v>
      </c>
      <c r="B46" s="92" t="s">
        <v>409</v>
      </c>
      <c r="C46" s="92" t="s">
        <v>410</v>
      </c>
      <c r="D46" s="92" t="s">
        <v>411</v>
      </c>
      <c r="E46" s="95" t="s">
        <v>412</v>
      </c>
      <c r="F46" s="96"/>
      <c r="G46" s="97"/>
      <c r="H46" s="95" t="s">
        <v>413</v>
      </c>
      <c r="I46" s="96"/>
      <c r="J46" s="96"/>
      <c r="K46" s="96"/>
      <c r="L46" s="97"/>
    </row>
    <row r="47" spans="1:12" ht="12.75" customHeight="1">
      <c r="A47" s="93"/>
      <c r="B47" s="93"/>
      <c r="C47" s="93"/>
      <c r="D47" s="93"/>
      <c r="E47" s="98"/>
      <c r="F47" s="99"/>
      <c r="G47" s="100"/>
      <c r="H47" s="98"/>
      <c r="I47" s="99"/>
      <c r="J47" s="99"/>
      <c r="K47" s="99"/>
      <c r="L47" s="100"/>
    </row>
    <row r="48" spans="1:12" ht="12.75" customHeight="1">
      <c r="A48" s="93"/>
      <c r="B48" s="93"/>
      <c r="C48" s="93"/>
      <c r="D48" s="93"/>
      <c r="E48" s="98"/>
      <c r="F48" s="99"/>
      <c r="G48" s="100"/>
      <c r="H48" s="98"/>
      <c r="I48" s="99"/>
      <c r="J48" s="99"/>
      <c r="K48" s="99"/>
      <c r="L48" s="100"/>
    </row>
    <row r="49" spans="1:82" ht="12.75" customHeight="1">
      <c r="A49" s="93"/>
      <c r="B49" s="93"/>
      <c r="C49" s="93"/>
      <c r="D49" s="93"/>
      <c r="E49" s="101"/>
      <c r="F49" s="102"/>
      <c r="G49" s="103"/>
      <c r="H49" s="101"/>
      <c r="I49" s="102"/>
      <c r="J49" s="102"/>
      <c r="K49" s="102"/>
      <c r="L49" s="103"/>
    </row>
    <row r="50" spans="1:82" ht="51" customHeight="1">
      <c r="A50" s="94"/>
      <c r="B50" s="94"/>
      <c r="C50" s="94"/>
      <c r="D50" s="94"/>
      <c r="E50" s="36" t="s">
        <v>414</v>
      </c>
      <c r="F50" s="36" t="s">
        <v>415</v>
      </c>
      <c r="G50" s="37" t="s">
        <v>416</v>
      </c>
      <c r="H50" s="36" t="s">
        <v>417</v>
      </c>
      <c r="I50" s="36" t="s">
        <v>418</v>
      </c>
      <c r="J50" s="36" t="s">
        <v>419</v>
      </c>
      <c r="K50" s="36" t="s">
        <v>415</v>
      </c>
      <c r="L50" s="36" t="s">
        <v>420</v>
      </c>
    </row>
    <row r="51" spans="1:82" ht="14.25" customHeight="1">
      <c r="A51" s="38">
        <v>1</v>
      </c>
      <c r="B51" s="38">
        <v>2</v>
      </c>
      <c r="C51" s="38">
        <v>3</v>
      </c>
      <c r="D51" s="38">
        <v>4</v>
      </c>
      <c r="E51" s="38">
        <v>5</v>
      </c>
      <c r="F51" s="38">
        <v>6</v>
      </c>
      <c r="G51" s="38">
        <v>7</v>
      </c>
      <c r="H51" s="38">
        <v>8</v>
      </c>
      <c r="I51" s="38">
        <v>9</v>
      </c>
      <c r="J51" s="38">
        <v>10</v>
      </c>
      <c r="K51" s="40">
        <v>11</v>
      </c>
      <c r="L51" s="40">
        <v>12</v>
      </c>
    </row>
    <row r="52" spans="1:82" ht="28.5">
      <c r="A52" s="42" t="s">
        <v>15</v>
      </c>
      <c r="B52" s="44" t="s">
        <v>424</v>
      </c>
      <c r="C52" s="44" t="str">
        <f>Source!G24</f>
        <v>Вырубка засохшего кустарника и поросли в прибрежной зоне</v>
      </c>
      <c r="D52" s="45" t="str">
        <f>Source!H24</f>
        <v>100 м2</v>
      </c>
      <c r="E52" s="46">
        <f>Source!K24</f>
        <v>1.1200000000000001</v>
      </c>
      <c r="F52" s="46"/>
      <c r="G52" s="46">
        <f>Source!I24</f>
        <v>1.1200000000000001</v>
      </c>
      <c r="H52" s="48"/>
      <c r="I52" s="47"/>
      <c r="J52" s="48"/>
      <c r="K52" s="47"/>
      <c r="L52" s="48"/>
    </row>
    <row r="53" spans="1:82">
      <c r="C53" s="49" t="str">
        <f>"Объем: "&amp;Source!I24&amp;"=112/"&amp;"100"</f>
        <v>Объем: 1,12=112/100</v>
      </c>
    </row>
    <row r="54" spans="1:82" ht="15">
      <c r="A54" s="43"/>
      <c r="B54" s="46">
        <v>1</v>
      </c>
      <c r="C54" s="43" t="s">
        <v>425</v>
      </c>
      <c r="D54" s="45" t="s">
        <v>271</v>
      </c>
      <c r="E54" s="50"/>
      <c r="F54" s="46"/>
      <c r="G54" s="46">
        <f>Source!U24</f>
        <v>3.2928000000000002</v>
      </c>
      <c r="H54" s="46"/>
      <c r="I54" s="46"/>
      <c r="J54" s="46"/>
      <c r="K54" s="46"/>
      <c r="L54" s="51">
        <f>SUM(L55:L55)-SUMIF(CE55:CE55, 1, L55:L55)</f>
        <v>1103.42</v>
      </c>
    </row>
    <row r="55" spans="1:82" ht="14.25">
      <c r="A55" s="44"/>
      <c r="B55" s="44" t="s">
        <v>269</v>
      </c>
      <c r="C55" s="52" t="s">
        <v>270</v>
      </c>
      <c r="D55" s="53" t="s">
        <v>271</v>
      </c>
      <c r="E55" s="54">
        <v>2.94</v>
      </c>
      <c r="F55" s="54"/>
      <c r="G55" s="54">
        <f>SmtRes!CX1</f>
        <v>3.2928000000000002</v>
      </c>
      <c r="H55" s="55"/>
      <c r="I55" s="56"/>
      <c r="J55" s="55">
        <f>SmtRes!CZ1</f>
        <v>335.1</v>
      </c>
      <c r="K55" s="56"/>
      <c r="L55" s="55">
        <f>SmtRes!DI1</f>
        <v>1103.42</v>
      </c>
    </row>
    <row r="56" spans="1:82" ht="15">
      <c r="A56" s="44"/>
      <c r="B56" s="44"/>
      <c r="C56" s="58" t="s">
        <v>426</v>
      </c>
      <c r="D56" s="45"/>
      <c r="E56" s="46"/>
      <c r="F56" s="46"/>
      <c r="G56" s="46"/>
      <c r="H56" s="48"/>
      <c r="I56" s="47"/>
      <c r="J56" s="48"/>
      <c r="K56" s="47"/>
      <c r="L56" s="48">
        <f>L54</f>
        <v>1103.42</v>
      </c>
    </row>
    <row r="57" spans="1:82" ht="14.25">
      <c r="A57" s="44"/>
      <c r="B57" s="44"/>
      <c r="C57" s="44" t="s">
        <v>427</v>
      </c>
      <c r="D57" s="45"/>
      <c r="E57" s="46"/>
      <c r="F57" s="46"/>
      <c r="G57" s="46"/>
      <c r="H57" s="48"/>
      <c r="I57" s="47"/>
      <c r="J57" s="48"/>
      <c r="K57" s="47"/>
      <c r="L57" s="48">
        <f>SUM(AR52:AR60)+SUM(AS52:AS60)+SUM(AT52:AT60)+SUM(AU52:AU60)+SUM(AV52:AV60)</f>
        <v>1103.42</v>
      </c>
    </row>
    <row r="58" spans="1:82" ht="14.25">
      <c r="A58" s="44"/>
      <c r="B58" s="44" t="s">
        <v>23</v>
      </c>
      <c r="C58" s="44" t="s">
        <v>428</v>
      </c>
      <c r="D58" s="45" t="s">
        <v>429</v>
      </c>
      <c r="E58" s="46">
        <f>Source!BZ24</f>
        <v>102</v>
      </c>
      <c r="F58" s="46"/>
      <c r="G58" s="46">
        <f>Source!AT24</f>
        <v>102</v>
      </c>
      <c r="H58" s="48"/>
      <c r="I58" s="47"/>
      <c r="J58" s="48"/>
      <c r="K58" s="47"/>
      <c r="L58" s="48">
        <f>SUM(AZ52:AZ60)</f>
        <v>1125.49</v>
      </c>
    </row>
    <row r="59" spans="1:82" ht="14.25">
      <c r="A59" s="52"/>
      <c r="B59" s="52" t="s">
        <v>24</v>
      </c>
      <c r="C59" s="52" t="s">
        <v>430</v>
      </c>
      <c r="D59" s="53" t="s">
        <v>429</v>
      </c>
      <c r="E59" s="54">
        <f>Source!CA24</f>
        <v>54</v>
      </c>
      <c r="F59" s="54"/>
      <c r="G59" s="54">
        <f>Source!AU24</f>
        <v>54</v>
      </c>
      <c r="H59" s="55"/>
      <c r="I59" s="56"/>
      <c r="J59" s="55"/>
      <c r="K59" s="56"/>
      <c r="L59" s="55">
        <f>SUM(BA52:BA60)</f>
        <v>595.85</v>
      </c>
    </row>
    <row r="60" spans="1:82" ht="15">
      <c r="C60" s="90" t="s">
        <v>431</v>
      </c>
      <c r="D60" s="90"/>
      <c r="E60" s="90"/>
      <c r="F60" s="90"/>
      <c r="G60" s="90"/>
      <c r="H60" s="90"/>
      <c r="I60" s="91">
        <f>IF(E52&lt;&gt;0,K60/E52, 0)</f>
        <v>2522.1071428571422</v>
      </c>
      <c r="J60" s="91"/>
      <c r="K60" s="91">
        <f>L54+L58+L59</f>
        <v>2824.7599999999998</v>
      </c>
      <c r="L60" s="91"/>
      <c r="AD60">
        <f>ROUND((Source!AT24/100)*((ROUND(SUMIF(SmtRes!AQ1:'SmtRes'!AQ1,"=1",SmtRes!AD1:'SmtRes'!AD1)*Source!I24, 2)+ROUND(SUMIF(SmtRes!AQ1:'SmtRes'!AQ1,"=1",SmtRes!AC1:'SmtRes'!AC1)*Source!I24, 2))), 2)</f>
        <v>382.82</v>
      </c>
      <c r="AE60">
        <f>ROUND((Source!AU24/100)*((ROUND(SUMIF(SmtRes!AQ1:'SmtRes'!AQ1,"=1",SmtRes!AD1:'SmtRes'!AD1)*Source!I24, 2)+ROUND(SUMIF(SmtRes!AQ1:'SmtRes'!AQ1,"=1",SmtRes!AC1:'SmtRes'!AC1)*Source!I24, 2))), 2)</f>
        <v>202.67</v>
      </c>
      <c r="AN60" s="57">
        <f>L54+L58+L59</f>
        <v>2824.7599999999998</v>
      </c>
      <c r="AO60">
        <f>0</f>
        <v>0</v>
      </c>
      <c r="AQ60" t="s">
        <v>432</v>
      </c>
      <c r="AR60" s="57">
        <f>L54</f>
        <v>1103.42</v>
      </c>
      <c r="AT60">
        <f>0</f>
        <v>0</v>
      </c>
      <c r="AV60" t="s">
        <v>432</v>
      </c>
      <c r="AW60">
        <f>0</f>
        <v>0</v>
      </c>
      <c r="AZ60">
        <f>Source!X24</f>
        <v>1125.49</v>
      </c>
      <c r="BA60">
        <f>Source!Y24</f>
        <v>595.85</v>
      </c>
      <c r="CD60">
        <v>1</v>
      </c>
    </row>
    <row r="61" spans="1:82" ht="57">
      <c r="A61" s="42" t="s">
        <v>25</v>
      </c>
      <c r="B61" s="44" t="s">
        <v>433</v>
      </c>
      <c r="C61" s="44" t="str">
        <f>Source!G25</f>
        <v>Разработка грунта экскаваторами с погрузкой на автомобили-самосвалы, вместимость ковша 1 (1-1,2) м3, группа грунтов: 3</v>
      </c>
      <c r="D61" s="45" t="str">
        <f>Source!H25</f>
        <v>1000 м3</v>
      </c>
      <c r="E61" s="46">
        <f>Source!K25</f>
        <v>3.3599999999999998E-2</v>
      </c>
      <c r="F61" s="46"/>
      <c r="G61" s="46">
        <f>Source!I25</f>
        <v>3.3599999999999998E-2</v>
      </c>
      <c r="H61" s="48"/>
      <c r="I61" s="47"/>
      <c r="J61" s="48"/>
      <c r="K61" s="47"/>
      <c r="L61" s="48"/>
    </row>
    <row r="62" spans="1:82" ht="38.25">
      <c r="B62" s="60" t="str">
        <f>Source!EO25</f>
        <v>Поправка: 421/пр_2020_п.58_пп.б</v>
      </c>
    </row>
    <row r="63" spans="1:82">
      <c r="C63" s="49" t="str">
        <f>"Объем: "&amp;Source!I25&amp;"=33,6/"&amp;"1000"</f>
        <v>Объем: 0,0336=33,6/1000</v>
      </c>
    </row>
    <row r="64" spans="1:82" ht="15">
      <c r="A64" s="43"/>
      <c r="B64" s="46">
        <v>1</v>
      </c>
      <c r="C64" s="43" t="s">
        <v>425</v>
      </c>
      <c r="D64" s="45" t="s">
        <v>271</v>
      </c>
      <c r="E64" s="50"/>
      <c r="F64" s="46"/>
      <c r="G64" s="46">
        <f>Source!U25</f>
        <v>0.28895999999999999</v>
      </c>
      <c r="H64" s="46"/>
      <c r="I64" s="46"/>
      <c r="J64" s="46"/>
      <c r="K64" s="46"/>
      <c r="L64" s="51">
        <f>SUM(L65:L65)-SUMIF(CE65:CE65, 1, L65:L65)</f>
        <v>92.59</v>
      </c>
    </row>
    <row r="65" spans="1:83" ht="14.25">
      <c r="A65" s="44"/>
      <c r="B65" s="44" t="s">
        <v>272</v>
      </c>
      <c r="C65" s="44" t="s">
        <v>273</v>
      </c>
      <c r="D65" s="45" t="s">
        <v>271</v>
      </c>
      <c r="E65" s="46">
        <v>8.6</v>
      </c>
      <c r="F65" s="46"/>
      <c r="G65" s="46">
        <f>SmtRes!CX2</f>
        <v>0.28895999999999999</v>
      </c>
      <c r="H65" s="48"/>
      <c r="I65" s="47"/>
      <c r="J65" s="48">
        <f>SmtRes!CZ2</f>
        <v>320.41000000000003</v>
      </c>
      <c r="K65" s="47"/>
      <c r="L65" s="48">
        <f>SmtRes!DI2</f>
        <v>92.59</v>
      </c>
    </row>
    <row r="66" spans="1:83" ht="15">
      <c r="A66" s="43"/>
      <c r="B66" s="46">
        <v>2</v>
      </c>
      <c r="C66" s="43" t="s">
        <v>434</v>
      </c>
      <c r="D66" s="45"/>
      <c r="E66" s="50"/>
      <c r="F66" s="46"/>
      <c r="G66" s="46"/>
      <c r="H66" s="46"/>
      <c r="I66" s="46"/>
      <c r="J66" s="46"/>
      <c r="K66" s="46"/>
      <c r="L66" s="51">
        <f>SUM(L67:L71)-SUMIF(CE67:CE71, 1, L67:L71)</f>
        <v>1351.1499999999996</v>
      </c>
    </row>
    <row r="67" spans="1:83" ht="15">
      <c r="A67" s="43"/>
      <c r="B67" s="46"/>
      <c r="C67" s="43" t="s">
        <v>436</v>
      </c>
      <c r="D67" s="45" t="s">
        <v>271</v>
      </c>
      <c r="E67" s="50"/>
      <c r="F67" s="46"/>
      <c r="G67" s="46">
        <f>Source!V25</f>
        <v>0.83764799999999995</v>
      </c>
      <c r="H67" s="46"/>
      <c r="I67" s="46"/>
      <c r="J67" s="46"/>
      <c r="K67" s="46"/>
      <c r="L67" s="51">
        <f>SUMIF(CE68:CE71, 1, L68:L71)</f>
        <v>443.21</v>
      </c>
      <c r="CE67">
        <v>1</v>
      </c>
    </row>
    <row r="68" spans="1:83" ht="28.5">
      <c r="A68" s="44"/>
      <c r="B68" s="44" t="s">
        <v>276</v>
      </c>
      <c r="C68" s="44" t="s">
        <v>278</v>
      </c>
      <c r="D68" s="45" t="s">
        <v>279</v>
      </c>
      <c r="E68" s="46">
        <v>6.23</v>
      </c>
      <c r="F68" s="46"/>
      <c r="G68" s="46">
        <f>SmtRes!CX4</f>
        <v>0.20932799999999999</v>
      </c>
      <c r="H68" s="48">
        <f>SmtRes!CZ4</f>
        <v>887.54</v>
      </c>
      <c r="I68" s="47">
        <f>SmtRes!AJ4</f>
        <v>1.4</v>
      </c>
      <c r="J68" s="48">
        <f>ROUND(H68*I68, 2)</f>
        <v>1242.56</v>
      </c>
      <c r="K68" s="47"/>
      <c r="L68" s="48">
        <f>SmtRes!DG4</f>
        <v>260.10000000000002</v>
      </c>
    </row>
    <row r="69" spans="1:83" ht="28.5">
      <c r="A69" s="44"/>
      <c r="B69" s="44" t="s">
        <v>280</v>
      </c>
      <c r="C69" s="44" t="s">
        <v>435</v>
      </c>
      <c r="D69" s="45" t="s">
        <v>271</v>
      </c>
      <c r="E69" s="46">
        <f>SmtRes!DO4*SmtRes!AT4</f>
        <v>6.23</v>
      </c>
      <c r="F69" s="46"/>
      <c r="G69" s="46">
        <f>ROUND(E69*G61, 7)</f>
        <v>0.20932799999999999</v>
      </c>
      <c r="H69" s="48"/>
      <c r="I69" s="47"/>
      <c r="J69" s="48">
        <f>ROUND(SmtRes!AG4/SmtRes!DO4, 2)</f>
        <v>529.11</v>
      </c>
      <c r="K69" s="47"/>
      <c r="L69" s="48">
        <f>SmtRes!DH4</f>
        <v>110.76</v>
      </c>
      <c r="CE69">
        <v>1</v>
      </c>
    </row>
    <row r="70" spans="1:83" ht="42.75">
      <c r="A70" s="44"/>
      <c r="B70" s="44" t="s">
        <v>281</v>
      </c>
      <c r="C70" s="44" t="s">
        <v>283</v>
      </c>
      <c r="D70" s="45" t="s">
        <v>279</v>
      </c>
      <c r="E70" s="46">
        <v>18.7</v>
      </c>
      <c r="F70" s="46"/>
      <c r="G70" s="46">
        <f>SmtRes!CX5</f>
        <v>0.62831999999999999</v>
      </c>
      <c r="H70" s="48"/>
      <c r="I70" s="47"/>
      <c r="J70" s="48">
        <f>SmtRes!CZ5</f>
        <v>1736.45</v>
      </c>
      <c r="K70" s="47"/>
      <c r="L70" s="48">
        <f>SmtRes!DG5</f>
        <v>1091.05</v>
      </c>
    </row>
    <row r="71" spans="1:83" ht="28.5">
      <c r="A71" s="44"/>
      <c r="B71" s="44" t="s">
        <v>280</v>
      </c>
      <c r="C71" s="44" t="s">
        <v>435</v>
      </c>
      <c r="D71" s="45" t="s">
        <v>271</v>
      </c>
      <c r="E71" s="46">
        <f>SmtRes!DO5*SmtRes!AT5</f>
        <v>18.7</v>
      </c>
      <c r="F71" s="46"/>
      <c r="G71" s="46">
        <f>ROUND(E71*G61, 7)</f>
        <v>0.62831999999999999</v>
      </c>
      <c r="H71" s="48"/>
      <c r="I71" s="47"/>
      <c r="J71" s="48">
        <f>ROUND(SmtRes!AG5/SmtRes!DO5, 2)</f>
        <v>529.11</v>
      </c>
      <c r="K71" s="47"/>
      <c r="L71" s="48">
        <f>SmtRes!DH5</f>
        <v>332.45</v>
      </c>
      <c r="CE71">
        <v>1</v>
      </c>
    </row>
    <row r="72" spans="1:83" ht="15">
      <c r="A72" s="43"/>
      <c r="B72" s="46">
        <v>4</v>
      </c>
      <c r="C72" s="43" t="s">
        <v>437</v>
      </c>
      <c r="D72" s="45"/>
      <c r="E72" s="50"/>
      <c r="F72" s="46"/>
      <c r="G72" s="46"/>
      <c r="H72" s="46"/>
      <c r="I72" s="46"/>
      <c r="J72" s="46"/>
      <c r="K72" s="46"/>
      <c r="L72" s="51">
        <f>SUM(L73:L73)-SUMIF(CE73:CE73, 1, L73:L73)</f>
        <v>5.43</v>
      </c>
    </row>
    <row r="73" spans="1:83" ht="42.75">
      <c r="A73" s="44"/>
      <c r="B73" s="44" t="s">
        <v>284</v>
      </c>
      <c r="C73" s="52" t="s">
        <v>286</v>
      </c>
      <c r="D73" s="53" t="s">
        <v>75</v>
      </c>
      <c r="E73" s="54">
        <v>0.05</v>
      </c>
      <c r="F73" s="54"/>
      <c r="G73" s="54">
        <f>SmtRes!CX6</f>
        <v>1.6800000000000001E-3</v>
      </c>
      <c r="H73" s="55">
        <f>SmtRes!CZ6</f>
        <v>2184.44</v>
      </c>
      <c r="I73" s="56">
        <f>SmtRes!AI6</f>
        <v>1.48</v>
      </c>
      <c r="J73" s="55">
        <f>ROUND(H73*I73, 2)</f>
        <v>3232.97</v>
      </c>
      <c r="K73" s="56"/>
      <c r="L73" s="55">
        <f>SmtRes!DF6</f>
        <v>5.43</v>
      </c>
    </row>
    <row r="74" spans="1:83" ht="15">
      <c r="A74" s="44"/>
      <c r="B74" s="44"/>
      <c r="C74" s="58" t="s">
        <v>426</v>
      </c>
      <c r="D74" s="45"/>
      <c r="E74" s="46"/>
      <c r="F74" s="46"/>
      <c r="G74" s="46"/>
      <c r="H74" s="48"/>
      <c r="I74" s="47"/>
      <c r="J74" s="48"/>
      <c r="K74" s="47"/>
      <c r="L74" s="48">
        <f>L64+L66+L67+L72</f>
        <v>1892.3799999999997</v>
      </c>
    </row>
    <row r="75" spans="1:83" ht="14.25">
      <c r="A75" s="44"/>
      <c r="B75" s="44"/>
      <c r="C75" s="44" t="s">
        <v>427</v>
      </c>
      <c r="D75" s="45"/>
      <c r="E75" s="46"/>
      <c r="F75" s="46"/>
      <c r="G75" s="46"/>
      <c r="H75" s="48"/>
      <c r="I75" s="47"/>
      <c r="J75" s="48"/>
      <c r="K75" s="47"/>
      <c r="L75" s="48">
        <f>SUM(AR61:AR78)+SUM(AS61:AS78)+SUM(AT61:AT78)+SUM(AU61:AU78)+SUM(AV61:AV78)</f>
        <v>535.79999999999995</v>
      </c>
    </row>
    <row r="76" spans="1:83" ht="28.5">
      <c r="A76" s="44"/>
      <c r="B76" s="44" t="s">
        <v>35</v>
      </c>
      <c r="C76" s="44" t="s">
        <v>438</v>
      </c>
      <c r="D76" s="45" t="s">
        <v>429</v>
      </c>
      <c r="E76" s="46">
        <f>Source!BZ25</f>
        <v>92</v>
      </c>
      <c r="F76" s="46"/>
      <c r="G76" s="46">
        <f>Source!AT25</f>
        <v>92</v>
      </c>
      <c r="H76" s="48"/>
      <c r="I76" s="47"/>
      <c r="J76" s="48"/>
      <c r="K76" s="47"/>
      <c r="L76" s="48">
        <f>SUM(AZ61:AZ78)</f>
        <v>492.94</v>
      </c>
    </row>
    <row r="77" spans="1:83" ht="28.5">
      <c r="A77" s="52"/>
      <c r="B77" s="52" t="s">
        <v>36</v>
      </c>
      <c r="C77" s="52" t="s">
        <v>439</v>
      </c>
      <c r="D77" s="53" t="s">
        <v>429</v>
      </c>
      <c r="E77" s="54">
        <f>Source!CA25</f>
        <v>46</v>
      </c>
      <c r="F77" s="54"/>
      <c r="G77" s="54">
        <f>Source!AU25</f>
        <v>46</v>
      </c>
      <c r="H77" s="55"/>
      <c r="I77" s="56"/>
      <c r="J77" s="55"/>
      <c r="K77" s="56"/>
      <c r="L77" s="55">
        <f>SUM(BA61:BA78)</f>
        <v>246.47</v>
      </c>
    </row>
    <row r="78" spans="1:83" ht="15">
      <c r="C78" s="90" t="s">
        <v>431</v>
      </c>
      <c r="D78" s="90"/>
      <c r="E78" s="90"/>
      <c r="F78" s="90"/>
      <c r="G78" s="90"/>
      <c r="H78" s="90"/>
      <c r="I78" s="91">
        <f>IF(E61&lt;&gt;0,K78/E61, 0)</f>
        <v>78327.083333333328</v>
      </c>
      <c r="J78" s="91"/>
      <c r="K78" s="91">
        <f>L64+L66+L72+L76+L77+L67</f>
        <v>2631.7899999999995</v>
      </c>
      <c r="L78" s="91"/>
      <c r="AD78">
        <f>ROUND((Source!AT25/100)*((ROUND(SUMIF(SmtRes!AQ2:'SmtRes'!AQ6,"=1",SmtRes!AD2:'SmtRes'!AD6)*Source!I25, 2)+ROUND(SUMIF(SmtRes!AQ2:'SmtRes'!AQ6,"=1",SmtRes!AC2:'SmtRes'!AC6)*Source!I25, 2))), 2)</f>
        <v>42.62</v>
      </c>
      <c r="AE78">
        <f>ROUND((Source!AU25/100)*((ROUND(SUMIF(SmtRes!AQ2:'SmtRes'!AQ6,"=1",SmtRes!AD2:'SmtRes'!AD6)*Source!I25, 2)+ROUND(SUMIF(SmtRes!AQ2:'SmtRes'!AQ6,"=1",SmtRes!AC2:'SmtRes'!AC6)*Source!I25, 2))), 2)</f>
        <v>21.31</v>
      </c>
      <c r="AN78" s="57">
        <f>L64+L66+L72+L76+L77+L67</f>
        <v>2631.7899999999995</v>
      </c>
      <c r="AO78" s="57">
        <f>L66</f>
        <v>1351.1499999999996</v>
      </c>
      <c r="AQ78" t="s">
        <v>432</v>
      </c>
      <c r="AR78" s="57">
        <f>L64</f>
        <v>92.59</v>
      </c>
      <c r="AT78" s="57">
        <f>L67</f>
        <v>443.21</v>
      </c>
      <c r="AV78" t="s">
        <v>432</v>
      </c>
      <c r="AW78" s="57">
        <f>L72</f>
        <v>5.43</v>
      </c>
      <c r="AZ78">
        <f>Source!X25</f>
        <v>492.94</v>
      </c>
      <c r="BA78">
        <f>Source!Y25</f>
        <v>246.47</v>
      </c>
      <c r="CD78">
        <v>1</v>
      </c>
    </row>
    <row r="79" spans="1:83" ht="128.25">
      <c r="A79" s="61" t="s">
        <v>37</v>
      </c>
      <c r="B79" s="52" t="s">
        <v>38</v>
      </c>
      <c r="C79" s="52" t="str">
        <f>Source!G26</f>
        <v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v>
      </c>
      <c r="D79" s="53" t="str">
        <f>Source!H26</f>
        <v>1т груза</v>
      </c>
      <c r="E79" s="54">
        <f>Source!K26</f>
        <v>16.8</v>
      </c>
      <c r="F79" s="54"/>
      <c r="G79" s="54">
        <f>Source!I26</f>
        <v>16.8</v>
      </c>
      <c r="H79" s="55"/>
      <c r="I79" s="56"/>
      <c r="J79" s="55">
        <f>Source!AK26</f>
        <v>303.01</v>
      </c>
      <c r="K79" s="56"/>
      <c r="L79" s="55">
        <f>Source!HD26</f>
        <v>5090.57</v>
      </c>
    </row>
    <row r="80" spans="1:83" ht="15">
      <c r="C80" s="90" t="s">
        <v>431</v>
      </c>
      <c r="D80" s="90"/>
      <c r="E80" s="90"/>
      <c r="F80" s="90"/>
      <c r="G80" s="90"/>
      <c r="H80" s="90"/>
      <c r="I80" s="91">
        <f>IF(E79&lt;&gt;0,K80/E79, 0)</f>
        <v>303.01011904761901</v>
      </c>
      <c r="J80" s="91"/>
      <c r="K80" s="91">
        <f>L79</f>
        <v>5090.57</v>
      </c>
      <c r="L80" s="91"/>
      <c r="AD80">
        <f>ROUND((Source!AT26/100)*((ROUND(0*Source!I26, 2)+ROUND(0*Source!I26, 2))), 2)</f>
        <v>0</v>
      </c>
      <c r="AE80">
        <f>ROUND((Source!AU26/100)*((ROUND(0*Source!I26, 2)+ROUND(0*Source!I26, 2))), 2)</f>
        <v>0</v>
      </c>
      <c r="AN80" s="57">
        <f>L79</f>
        <v>5090.57</v>
      </c>
      <c r="AP80">
        <f>0</f>
        <v>0</v>
      </c>
      <c r="AQ80" t="s">
        <v>432</v>
      </c>
      <c r="AS80">
        <f>0</f>
        <v>0</v>
      </c>
      <c r="AU80">
        <f>0</f>
        <v>0</v>
      </c>
      <c r="AV80" t="s">
        <v>432</v>
      </c>
      <c r="AZ80">
        <f>Source!X26</f>
        <v>0</v>
      </c>
      <c r="BA80">
        <f>Source!Y26</f>
        <v>0</v>
      </c>
      <c r="BB80" s="57">
        <f>L79</f>
        <v>5090.57</v>
      </c>
      <c r="CD80">
        <v>1</v>
      </c>
    </row>
    <row r="81" spans="1:83" ht="42.75">
      <c r="A81" s="42" t="s">
        <v>47</v>
      </c>
      <c r="B81" s="44" t="s">
        <v>440</v>
      </c>
      <c r="C81" s="44" t="str">
        <f>Source!G27</f>
        <v>Разборка покрытий и оснований: асфальтобетонных с помощью молотков отбойных</v>
      </c>
      <c r="D81" s="45" t="str">
        <f>Source!H27</f>
        <v>100 м3</v>
      </c>
      <c r="E81" s="46">
        <f>Source!K27</f>
        <v>1.4E-2</v>
      </c>
      <c r="F81" s="46"/>
      <c r="G81" s="46">
        <f>Source!I27</f>
        <v>1.4E-2</v>
      </c>
      <c r="H81" s="48"/>
      <c r="I81" s="47"/>
      <c r="J81" s="48"/>
      <c r="K81" s="47"/>
      <c r="L81" s="48"/>
    </row>
    <row r="82" spans="1:83">
      <c r="C82" s="49" t="str">
        <f>"Объем: "&amp;Source!I27&amp;"=1,4/"&amp;"100"</f>
        <v>Объем: 0,014=1,4/100</v>
      </c>
    </row>
    <row r="83" spans="1:83" ht="15">
      <c r="A83" s="43"/>
      <c r="B83" s="46">
        <v>1</v>
      </c>
      <c r="C83" s="43" t="s">
        <v>425</v>
      </c>
      <c r="D83" s="45" t="s">
        <v>271</v>
      </c>
      <c r="E83" s="50"/>
      <c r="F83" s="46"/>
      <c r="G83" s="46">
        <f>Source!U27</f>
        <v>2.1629999999999998</v>
      </c>
      <c r="H83" s="46"/>
      <c r="I83" s="46"/>
      <c r="J83" s="46"/>
      <c r="K83" s="46"/>
      <c r="L83" s="51">
        <f>SUM(L84:L85)-SUMIF(CE84:CE85, 1, L84:L85)</f>
        <v>724.82999999999993</v>
      </c>
    </row>
    <row r="84" spans="1:83" ht="14.25">
      <c r="A84" s="44"/>
      <c r="B84" s="44" t="s">
        <v>287</v>
      </c>
      <c r="C84" s="44" t="s">
        <v>288</v>
      </c>
      <c r="D84" s="45" t="s">
        <v>289</v>
      </c>
      <c r="E84" s="46">
        <v>77.25</v>
      </c>
      <c r="F84" s="46"/>
      <c r="G84" s="46">
        <f>SmtRes!CX7</f>
        <v>1.0814999999999999</v>
      </c>
      <c r="H84" s="48"/>
      <c r="I84" s="47"/>
      <c r="J84" s="48">
        <f>SmtRes!CZ7</f>
        <v>320.41000000000003</v>
      </c>
      <c r="K84" s="47"/>
      <c r="L84" s="48">
        <f>SmtRes!DI7</f>
        <v>346.52</v>
      </c>
    </row>
    <row r="85" spans="1:83" ht="14.25">
      <c r="A85" s="44"/>
      <c r="B85" s="44" t="s">
        <v>290</v>
      </c>
      <c r="C85" s="44" t="s">
        <v>291</v>
      </c>
      <c r="D85" s="45" t="s">
        <v>289</v>
      </c>
      <c r="E85" s="46">
        <v>77.25</v>
      </c>
      <c r="F85" s="46"/>
      <c r="G85" s="46">
        <f>SmtRes!CX8</f>
        <v>1.0814999999999999</v>
      </c>
      <c r="H85" s="48"/>
      <c r="I85" s="47"/>
      <c r="J85" s="48">
        <f>SmtRes!CZ8</f>
        <v>349.8</v>
      </c>
      <c r="K85" s="47"/>
      <c r="L85" s="48">
        <f>SmtRes!DI8</f>
        <v>378.31</v>
      </c>
    </row>
    <row r="86" spans="1:83" ht="15">
      <c r="A86" s="43"/>
      <c r="B86" s="46">
        <v>2</v>
      </c>
      <c r="C86" s="43" t="s">
        <v>434</v>
      </c>
      <c r="D86" s="45"/>
      <c r="E86" s="50"/>
      <c r="F86" s="46"/>
      <c r="G86" s="46"/>
      <c r="H86" s="46"/>
      <c r="I86" s="46"/>
      <c r="J86" s="46"/>
      <c r="K86" s="46"/>
      <c r="L86" s="51">
        <f>SUM(L87:L90)-SUMIF(CE87:CE90, 1, L87:L90)</f>
        <v>215.67000000000002</v>
      </c>
    </row>
    <row r="87" spans="1:83" ht="15">
      <c r="A87" s="43"/>
      <c r="B87" s="46"/>
      <c r="C87" s="43" t="s">
        <v>436</v>
      </c>
      <c r="D87" s="45" t="s">
        <v>271</v>
      </c>
      <c r="E87" s="50"/>
      <c r="F87" s="46"/>
      <c r="G87" s="46">
        <f>Source!V27</f>
        <v>0.52500000000000002</v>
      </c>
      <c r="H87" s="46"/>
      <c r="I87" s="46"/>
      <c r="J87" s="46"/>
      <c r="K87" s="46"/>
      <c r="L87" s="51">
        <f>SUMIF(CE88:CE90, 1, L88:L90)</f>
        <v>206.79</v>
      </c>
      <c r="CE87">
        <v>1</v>
      </c>
    </row>
    <row r="88" spans="1:83" ht="57">
      <c r="A88" s="44"/>
      <c r="B88" s="44" t="s">
        <v>292</v>
      </c>
      <c r="C88" s="44" t="s">
        <v>294</v>
      </c>
      <c r="D88" s="45" t="s">
        <v>279</v>
      </c>
      <c r="E88" s="46">
        <v>37.5</v>
      </c>
      <c r="F88" s="46"/>
      <c r="G88" s="46">
        <f>SmtRes!CX10</f>
        <v>0.52500000000000002</v>
      </c>
      <c r="H88" s="48"/>
      <c r="I88" s="47"/>
      <c r="J88" s="48">
        <f>SmtRes!CZ10</f>
        <v>404.41</v>
      </c>
      <c r="K88" s="47"/>
      <c r="L88" s="48">
        <f>SmtRes!DG10</f>
        <v>212.32</v>
      </c>
    </row>
    <row r="89" spans="1:83" ht="28.5">
      <c r="A89" s="44"/>
      <c r="B89" s="44" t="s">
        <v>295</v>
      </c>
      <c r="C89" s="44" t="s">
        <v>441</v>
      </c>
      <c r="D89" s="45" t="s">
        <v>271</v>
      </c>
      <c r="E89" s="46">
        <f>SmtRes!DO10*SmtRes!AT10</f>
        <v>37.5</v>
      </c>
      <c r="F89" s="46"/>
      <c r="G89" s="46">
        <f>ROUND(E89*G81, 7)</f>
        <v>0.52500000000000002</v>
      </c>
      <c r="H89" s="48"/>
      <c r="I89" s="47"/>
      <c r="J89" s="48">
        <f>ROUND(SmtRes!AG10/SmtRes!DO10, 2)</f>
        <v>393.89</v>
      </c>
      <c r="K89" s="47"/>
      <c r="L89" s="48">
        <f>SmtRes!DH10</f>
        <v>206.79</v>
      </c>
      <c r="CE89">
        <v>1</v>
      </c>
    </row>
    <row r="90" spans="1:83" ht="42.75">
      <c r="A90" s="44"/>
      <c r="B90" s="44" t="s">
        <v>296</v>
      </c>
      <c r="C90" s="52" t="s">
        <v>298</v>
      </c>
      <c r="D90" s="53" t="s">
        <v>279</v>
      </c>
      <c r="E90" s="54">
        <v>75</v>
      </c>
      <c r="F90" s="54"/>
      <c r="G90" s="54">
        <f>SmtRes!CX11</f>
        <v>1.05</v>
      </c>
      <c r="H90" s="55">
        <f>SmtRes!CZ11</f>
        <v>2.11</v>
      </c>
      <c r="I90" s="56">
        <f>SmtRes!AJ11</f>
        <v>1.51</v>
      </c>
      <c r="J90" s="55">
        <f>ROUND(H90*I90, 2)</f>
        <v>3.19</v>
      </c>
      <c r="K90" s="56"/>
      <c r="L90" s="55">
        <f>SmtRes!DG11</f>
        <v>3.35</v>
      </c>
    </row>
    <row r="91" spans="1:83" ht="15">
      <c r="A91" s="44"/>
      <c r="B91" s="44"/>
      <c r="C91" s="58" t="s">
        <v>426</v>
      </c>
      <c r="D91" s="45"/>
      <c r="E91" s="46"/>
      <c r="F91" s="46"/>
      <c r="G91" s="46"/>
      <c r="H91" s="48"/>
      <c r="I91" s="47"/>
      <c r="J91" s="48"/>
      <c r="K91" s="47"/>
      <c r="L91" s="48">
        <f>L83+L86+L87</f>
        <v>1147.29</v>
      </c>
    </row>
    <row r="92" spans="1:83" ht="14.25">
      <c r="A92" s="44"/>
      <c r="B92" s="44"/>
      <c r="C92" s="44" t="s">
        <v>427</v>
      </c>
      <c r="D92" s="45"/>
      <c r="E92" s="46"/>
      <c r="F92" s="46"/>
      <c r="G92" s="46"/>
      <c r="H92" s="48"/>
      <c r="I92" s="47"/>
      <c r="J92" s="48"/>
      <c r="K92" s="47"/>
      <c r="L92" s="48">
        <f>SUM(AR81:AR95)+SUM(AS81:AS95)+SUM(AT81:AT95)+SUM(AU81:AU95)+SUM(AV81:AV95)</f>
        <v>931.61999999999989</v>
      </c>
    </row>
    <row r="93" spans="1:83" ht="14.25">
      <c r="A93" s="44"/>
      <c r="B93" s="44" t="s">
        <v>23</v>
      </c>
      <c r="C93" s="44" t="s">
        <v>428</v>
      </c>
      <c r="D93" s="45" t="s">
        <v>429</v>
      </c>
      <c r="E93" s="46">
        <f>Source!BZ27</f>
        <v>102</v>
      </c>
      <c r="F93" s="46"/>
      <c r="G93" s="46">
        <f>Source!AT27</f>
        <v>102</v>
      </c>
      <c r="H93" s="48"/>
      <c r="I93" s="47"/>
      <c r="J93" s="48"/>
      <c r="K93" s="47"/>
      <c r="L93" s="48">
        <f>SUM(AZ81:AZ95)</f>
        <v>950.25</v>
      </c>
    </row>
    <row r="94" spans="1:83" ht="14.25">
      <c r="A94" s="52"/>
      <c r="B94" s="52" t="s">
        <v>24</v>
      </c>
      <c r="C94" s="52" t="s">
        <v>430</v>
      </c>
      <c r="D94" s="53" t="s">
        <v>429</v>
      </c>
      <c r="E94" s="54">
        <f>Source!CA27</f>
        <v>54</v>
      </c>
      <c r="F94" s="54"/>
      <c r="G94" s="54">
        <f>Source!AU27</f>
        <v>54</v>
      </c>
      <c r="H94" s="55"/>
      <c r="I94" s="56"/>
      <c r="J94" s="55"/>
      <c r="K94" s="56"/>
      <c r="L94" s="55">
        <f>SUM(BA81:BA95)</f>
        <v>503.07</v>
      </c>
    </row>
    <row r="95" spans="1:83" ht="15">
      <c r="C95" s="90" t="s">
        <v>431</v>
      </c>
      <c r="D95" s="90"/>
      <c r="E95" s="90"/>
      <c r="F95" s="90"/>
      <c r="G95" s="90"/>
      <c r="H95" s="90"/>
      <c r="I95" s="91">
        <f>IF(E81&lt;&gt;0,K95/E81, 0)</f>
        <v>185757.85714285716</v>
      </c>
      <c r="J95" s="91"/>
      <c r="K95" s="91">
        <f>L83+L86+L93+L94+L87</f>
        <v>2600.61</v>
      </c>
      <c r="L95" s="91"/>
      <c r="AD95">
        <f>ROUND((Source!AT27/100)*((ROUND(SUMIF(SmtRes!AQ7:'SmtRes'!AQ11,"=1",SmtRes!AD7:'SmtRes'!AD11)*Source!I27, 2)+ROUND(SUMIF(SmtRes!AQ7:'SmtRes'!AQ11,"=1",SmtRes!AC7:'SmtRes'!AC11)*Source!I27, 2))), 2)</f>
        <v>15.19</v>
      </c>
      <c r="AE95">
        <f>ROUND((Source!AU27/100)*((ROUND(SUMIF(SmtRes!AQ7:'SmtRes'!AQ11,"=1",SmtRes!AD7:'SmtRes'!AD11)*Source!I27, 2)+ROUND(SUMIF(SmtRes!AQ7:'SmtRes'!AQ11,"=1",SmtRes!AC7:'SmtRes'!AC11)*Source!I27, 2))), 2)</f>
        <v>8.0399999999999991</v>
      </c>
      <c r="AN95" s="57">
        <f>L83+L86+L93+L94+L87</f>
        <v>2600.61</v>
      </c>
      <c r="AO95" s="57">
        <f>L86</f>
        <v>215.67000000000002</v>
      </c>
      <c r="AQ95" t="s">
        <v>432</v>
      </c>
      <c r="AR95" s="57">
        <f>L83</f>
        <v>724.82999999999993</v>
      </c>
      <c r="AT95" s="57">
        <f>L87</f>
        <v>206.79</v>
      </c>
      <c r="AV95" t="s">
        <v>432</v>
      </c>
      <c r="AW95">
        <f>0</f>
        <v>0</v>
      </c>
      <c r="AZ95">
        <f>Source!X27</f>
        <v>950.25</v>
      </c>
      <c r="BA95">
        <f>Source!Y27</f>
        <v>503.07</v>
      </c>
      <c r="CD95">
        <v>1</v>
      </c>
    </row>
    <row r="96" spans="1:83" ht="42.75">
      <c r="A96" s="42" t="s">
        <v>52</v>
      </c>
      <c r="B96" s="44" t="s">
        <v>442</v>
      </c>
      <c r="C96" s="44" t="str">
        <f>Source!G28</f>
        <v>Разработка грунта вручную в траншеях глубиной до 2 м без креплений с откосами, группа грунтов: 3</v>
      </c>
      <c r="D96" s="45" t="str">
        <f>Source!H28</f>
        <v>100 м3</v>
      </c>
      <c r="E96" s="46">
        <f>Source!K28</f>
        <v>0.1</v>
      </c>
      <c r="F96" s="46"/>
      <c r="G96" s="46">
        <f>Source!I28</f>
        <v>0.1</v>
      </c>
      <c r="H96" s="48"/>
      <c r="I96" s="47"/>
      <c r="J96" s="48"/>
      <c r="K96" s="47"/>
      <c r="L96" s="48"/>
    </row>
    <row r="97" spans="1:101" ht="76.5">
      <c r="B97" s="60" t="str">
        <f>Source!EO28</f>
        <v>Поправка: 421/пр_2020_прил.10_т.5_п.3_гр.3
Поправка: 421/пр_2020_п.58_пп.б</v>
      </c>
    </row>
    <row r="98" spans="1:101">
      <c r="C98" s="49" t="str">
        <f>"Объем: "&amp;Source!I28&amp;"=10/"&amp;"100"</f>
        <v>Объем: 0,1=10/100</v>
      </c>
    </row>
    <row r="99" spans="1:101" ht="15">
      <c r="A99" s="43"/>
      <c r="B99" s="46">
        <v>1</v>
      </c>
      <c r="C99" s="43" t="s">
        <v>425</v>
      </c>
      <c r="D99" s="45" t="s">
        <v>271</v>
      </c>
      <c r="E99" s="50"/>
      <c r="F99" s="46"/>
      <c r="G99" s="46">
        <f>Source!U28</f>
        <v>24.8</v>
      </c>
      <c r="H99" s="46"/>
      <c r="I99" s="46"/>
      <c r="J99" s="46"/>
      <c r="K99" s="46"/>
      <c r="L99" s="51">
        <f>SUM(L100:L100)-SUMIF(CE100:CE100, 1, L100:L100)</f>
        <v>7946.17</v>
      </c>
    </row>
    <row r="100" spans="1:101" ht="14.25">
      <c r="A100" s="44"/>
      <c r="B100" s="44" t="s">
        <v>272</v>
      </c>
      <c r="C100" s="52" t="s">
        <v>273</v>
      </c>
      <c r="D100" s="53" t="s">
        <v>271</v>
      </c>
      <c r="E100" s="54">
        <v>248</v>
      </c>
      <c r="F100" s="54"/>
      <c r="G100" s="54">
        <f>SmtRes!CX12</f>
        <v>24.8</v>
      </c>
      <c r="H100" s="55"/>
      <c r="I100" s="56"/>
      <c r="J100" s="55">
        <f>SmtRes!CZ12</f>
        <v>320.41000000000003</v>
      </c>
      <c r="K100" s="56"/>
      <c r="L100" s="55">
        <f>SmtRes!DI12</f>
        <v>7946.17</v>
      </c>
    </row>
    <row r="101" spans="1:101" ht="15">
      <c r="A101" s="44"/>
      <c r="B101" s="44"/>
      <c r="C101" s="58" t="s">
        <v>426</v>
      </c>
      <c r="D101" s="45"/>
      <c r="E101" s="46"/>
      <c r="F101" s="46"/>
      <c r="G101" s="46"/>
      <c r="H101" s="48"/>
      <c r="I101" s="47"/>
      <c r="J101" s="48"/>
      <c r="K101" s="47"/>
      <c r="L101" s="48">
        <f>L99</f>
        <v>7946.17</v>
      </c>
    </row>
    <row r="102" spans="1:101" ht="14.25">
      <c r="A102" s="44"/>
      <c r="B102" s="44"/>
      <c r="C102" s="44" t="s">
        <v>427</v>
      </c>
      <c r="D102" s="45"/>
      <c r="E102" s="46"/>
      <c r="F102" s="46"/>
      <c r="G102" s="46"/>
      <c r="H102" s="48"/>
      <c r="I102" s="47"/>
      <c r="J102" s="48"/>
      <c r="K102" s="47"/>
      <c r="L102" s="48">
        <f>SUM(AR96:AR105)+SUM(AS96:AS105)+SUM(AT96:AT105)+SUM(AU96:AU105)+SUM(AV96:AV105)</f>
        <v>7946.17</v>
      </c>
    </row>
    <row r="103" spans="1:101" ht="28.5">
      <c r="A103" s="44"/>
      <c r="B103" s="44" t="s">
        <v>58</v>
      </c>
      <c r="C103" s="44" t="s">
        <v>443</v>
      </c>
      <c r="D103" s="45" t="s">
        <v>429</v>
      </c>
      <c r="E103" s="46">
        <f>Source!BZ28</f>
        <v>89</v>
      </c>
      <c r="F103" s="46"/>
      <c r="G103" s="46">
        <f>Source!AT28</f>
        <v>89</v>
      </c>
      <c r="H103" s="48"/>
      <c r="I103" s="47"/>
      <c r="J103" s="48"/>
      <c r="K103" s="47"/>
      <c r="L103" s="48">
        <f>SUM(AZ96:AZ105)</f>
        <v>7072.09</v>
      </c>
    </row>
    <row r="104" spans="1:101" ht="28.5">
      <c r="A104" s="52"/>
      <c r="B104" s="52" t="s">
        <v>59</v>
      </c>
      <c r="C104" s="52" t="s">
        <v>444</v>
      </c>
      <c r="D104" s="53" t="s">
        <v>429</v>
      </c>
      <c r="E104" s="54">
        <f>Source!CA28</f>
        <v>40</v>
      </c>
      <c r="F104" s="54"/>
      <c r="G104" s="54">
        <f>Source!AU28</f>
        <v>40</v>
      </c>
      <c r="H104" s="55"/>
      <c r="I104" s="56"/>
      <c r="J104" s="55"/>
      <c r="K104" s="56"/>
      <c r="L104" s="55">
        <f>SUM(BA96:BA105)</f>
        <v>3178.47</v>
      </c>
    </row>
    <row r="105" spans="1:101" ht="15">
      <c r="C105" s="90" t="s">
        <v>431</v>
      </c>
      <c r="D105" s="90"/>
      <c r="E105" s="90"/>
      <c r="F105" s="90"/>
      <c r="G105" s="90"/>
      <c r="H105" s="90"/>
      <c r="I105" s="91">
        <f>IF(E96&lt;&gt;0,K105/E96, 0)</f>
        <v>181967.3</v>
      </c>
      <c r="J105" s="91"/>
      <c r="K105" s="91">
        <f>L99+L103+L104</f>
        <v>18196.73</v>
      </c>
      <c r="L105" s="91"/>
      <c r="AD105">
        <f>ROUND((Source!AT28/100)*((ROUND(SUMIF(SmtRes!AQ12:'SmtRes'!AQ12,"=1",SmtRes!AD12:'SmtRes'!AD12)*Source!I28, 2)+ROUND(SUMIF(SmtRes!AQ12:'SmtRes'!AQ12,"=1",SmtRes!AC12:'SmtRes'!AC12)*Source!I28, 2))), 2)</f>
        <v>28.52</v>
      </c>
      <c r="AE105">
        <f>ROUND((Source!AU28/100)*((ROUND(SUMIF(SmtRes!AQ12:'SmtRes'!AQ12,"=1",SmtRes!AD12:'SmtRes'!AD12)*Source!I28, 2)+ROUND(SUMIF(SmtRes!AQ12:'SmtRes'!AQ12,"=1",SmtRes!AC12:'SmtRes'!AC12)*Source!I28, 2))), 2)</f>
        <v>12.82</v>
      </c>
      <c r="AN105" s="57">
        <f>L99+L103+L104</f>
        <v>18196.73</v>
      </c>
      <c r="AO105">
        <f>0</f>
        <v>0</v>
      </c>
      <c r="AQ105" t="s">
        <v>432</v>
      </c>
      <c r="AR105" s="57">
        <f>L99</f>
        <v>7946.17</v>
      </c>
      <c r="AT105">
        <f>0</f>
        <v>0</v>
      </c>
      <c r="AV105" t="s">
        <v>432</v>
      </c>
      <c r="AW105">
        <f>0</f>
        <v>0</v>
      </c>
      <c r="AZ105">
        <f>Source!X28</f>
        <v>7072.09</v>
      </c>
      <c r="BA105">
        <f>Source!Y28</f>
        <v>3178.47</v>
      </c>
      <c r="CD105">
        <v>1</v>
      </c>
    </row>
    <row r="106" spans="1:101" ht="42.75">
      <c r="A106" s="42" t="s">
        <v>60</v>
      </c>
      <c r="B106" s="44" t="s">
        <v>445</v>
      </c>
      <c r="C106" s="44" t="str">
        <f>Source!G29</f>
        <v>Улучшенная штукатурка фасадов цементно-известковым раствором по камню: стен</v>
      </c>
      <c r="D106" s="45" t="str">
        <f>Source!H29</f>
        <v>100 м2</v>
      </c>
      <c r="E106" s="46">
        <f>Source!K29</f>
        <v>0.5</v>
      </c>
      <c r="F106" s="46"/>
      <c r="G106" s="46">
        <f>Source!I29</f>
        <v>0.5</v>
      </c>
      <c r="H106" s="48"/>
      <c r="I106" s="47"/>
      <c r="J106" s="48"/>
      <c r="K106" s="47"/>
      <c r="L106" s="48"/>
    </row>
    <row r="107" spans="1:101" ht="76.5" customHeight="1">
      <c r="B107" s="60" t="s">
        <v>375</v>
      </c>
      <c r="C107" s="88" t="s">
        <v>446</v>
      </c>
      <c r="D107" s="88"/>
      <c r="E107" s="88"/>
      <c r="F107" s="88"/>
      <c r="G107" s="88"/>
      <c r="H107" s="88"/>
      <c r="I107" s="88"/>
      <c r="J107" s="88"/>
      <c r="K107" s="88"/>
      <c r="L107" s="88"/>
      <c r="CW107" s="62" t="s">
        <v>446</v>
      </c>
    </row>
    <row r="108" spans="1:101">
      <c r="C108" s="49" t="str">
        <f>"Объем: "&amp;Source!I29&amp;"=50/"&amp;"100"</f>
        <v>Объем: 0,5=50/100</v>
      </c>
    </row>
    <row r="109" spans="1:101" ht="15">
      <c r="A109" s="43"/>
      <c r="B109" s="46">
        <v>1</v>
      </c>
      <c r="C109" s="43" t="s">
        <v>425</v>
      </c>
      <c r="D109" s="45" t="s">
        <v>271</v>
      </c>
      <c r="E109" s="50"/>
      <c r="F109" s="46"/>
      <c r="G109" s="46">
        <f>Source!U29</f>
        <v>35.1325</v>
      </c>
      <c r="H109" s="46"/>
      <c r="I109" s="46"/>
      <c r="J109" s="46"/>
      <c r="K109" s="46"/>
      <c r="L109" s="51">
        <f>SUM(L110:L110)-SUMIF(CE110:CE110, 1, L110:L110)</f>
        <v>13838.34</v>
      </c>
    </row>
    <row r="110" spans="1:101" ht="14.25">
      <c r="A110" s="44"/>
      <c r="B110" s="44" t="s">
        <v>299</v>
      </c>
      <c r="C110" s="44" t="s">
        <v>300</v>
      </c>
      <c r="D110" s="45" t="s">
        <v>271</v>
      </c>
      <c r="E110" s="46">
        <v>61.1</v>
      </c>
      <c r="F110" s="46">
        <f>ROUND(1.15,7)</f>
        <v>1.1499999999999999</v>
      </c>
      <c r="G110" s="46">
        <f>SmtRes!CX13</f>
        <v>35.1325</v>
      </c>
      <c r="H110" s="48"/>
      <c r="I110" s="47"/>
      <c r="J110" s="48">
        <f>SmtRes!CZ13</f>
        <v>393.89</v>
      </c>
      <c r="K110" s="47"/>
      <c r="L110" s="48">
        <f>SmtRes!DI13</f>
        <v>13838.34</v>
      </c>
    </row>
    <row r="111" spans="1:101" ht="15">
      <c r="A111" s="43"/>
      <c r="B111" s="46">
        <v>2</v>
      </c>
      <c r="C111" s="43" t="s">
        <v>434</v>
      </c>
      <c r="D111" s="45"/>
      <c r="E111" s="50"/>
      <c r="F111" s="46"/>
      <c r="G111" s="46"/>
      <c r="H111" s="46"/>
      <c r="I111" s="46"/>
      <c r="J111" s="46"/>
      <c r="K111" s="46"/>
      <c r="L111" s="51">
        <f>SUM(L112:L114)-SUMIF(CE112:CE114, 1, L112:L114)</f>
        <v>45.900000000000006</v>
      </c>
    </row>
    <row r="112" spans="1:101" ht="15" hidden="1">
      <c r="A112" s="43"/>
      <c r="B112" s="46"/>
      <c r="C112" s="43" t="s">
        <v>436</v>
      </c>
      <c r="D112" s="45" t="s">
        <v>271</v>
      </c>
      <c r="E112" s="50"/>
      <c r="F112" s="46"/>
      <c r="G112" s="46">
        <f>Source!V29</f>
        <v>0</v>
      </c>
      <c r="H112" s="46"/>
      <c r="I112" s="46"/>
      <c r="J112" s="46"/>
      <c r="K112" s="46"/>
      <c r="L112" s="51">
        <f>SUMIF(CE113:CE114, 1, L113:L114)</f>
        <v>0</v>
      </c>
      <c r="CE112">
        <v>1</v>
      </c>
    </row>
    <row r="113" spans="1:101" ht="28.5">
      <c r="A113" s="44"/>
      <c r="B113" s="44" t="s">
        <v>301</v>
      </c>
      <c r="C113" s="44" t="s">
        <v>303</v>
      </c>
      <c r="D113" s="45" t="s">
        <v>279</v>
      </c>
      <c r="E113" s="46">
        <v>0.9</v>
      </c>
      <c r="F113" s="46">
        <f>ROUND(1.25,7)</f>
        <v>1.25</v>
      </c>
      <c r="G113" s="46">
        <f>SmtRes!CX14</f>
        <v>0.5625</v>
      </c>
      <c r="H113" s="48">
        <f>SmtRes!CZ14</f>
        <v>8.84</v>
      </c>
      <c r="I113" s="47">
        <f>SmtRes!AJ14</f>
        <v>1.6</v>
      </c>
      <c r="J113" s="48">
        <f>ROUND(H113*I113, 2)</f>
        <v>14.14</v>
      </c>
      <c r="K113" s="47"/>
      <c r="L113" s="48">
        <f>SmtRes!DG14</f>
        <v>7.95</v>
      </c>
    </row>
    <row r="114" spans="1:101" ht="28.5">
      <c r="A114" s="44"/>
      <c r="B114" s="44" t="s">
        <v>304</v>
      </c>
      <c r="C114" s="44" t="s">
        <v>306</v>
      </c>
      <c r="D114" s="45" t="s">
        <v>279</v>
      </c>
      <c r="E114" s="46">
        <v>2.4</v>
      </c>
      <c r="F114" s="46">
        <f>ROUND(1.25,7)</f>
        <v>1.25</v>
      </c>
      <c r="G114" s="46">
        <f>SmtRes!CX15</f>
        <v>1.5</v>
      </c>
      <c r="H114" s="48"/>
      <c r="I114" s="47"/>
      <c r="J114" s="48">
        <f>SmtRes!CZ15</f>
        <v>25.3</v>
      </c>
      <c r="K114" s="47"/>
      <c r="L114" s="48">
        <f>SmtRes!DG15</f>
        <v>37.950000000000003</v>
      </c>
    </row>
    <row r="115" spans="1:101" ht="15">
      <c r="A115" s="43"/>
      <c r="B115" s="46">
        <v>4</v>
      </c>
      <c r="C115" s="43" t="s">
        <v>437</v>
      </c>
      <c r="D115" s="45"/>
      <c r="E115" s="50"/>
      <c r="F115" s="46"/>
      <c r="G115" s="46"/>
      <c r="H115" s="46"/>
      <c r="I115" s="46"/>
      <c r="J115" s="46"/>
      <c r="K115" s="46"/>
      <c r="L115" s="51">
        <f>SUM(L116:L116)-SUMIF(CE116:CE116, 1, L116:L116)</f>
        <v>5.5</v>
      </c>
    </row>
    <row r="116" spans="1:101" ht="14.25">
      <c r="A116" s="44"/>
      <c r="B116" s="44" t="s">
        <v>307</v>
      </c>
      <c r="C116" s="52" t="s">
        <v>309</v>
      </c>
      <c r="D116" s="53" t="s">
        <v>75</v>
      </c>
      <c r="E116" s="54">
        <v>0.35</v>
      </c>
      <c r="F116" s="54"/>
      <c r="G116" s="54">
        <f>SmtRes!CX16</f>
        <v>0.17499999999999999</v>
      </c>
      <c r="H116" s="55">
        <f>SmtRes!CZ16</f>
        <v>35.71</v>
      </c>
      <c r="I116" s="56">
        <f>SmtRes!AI16</f>
        <v>0.88</v>
      </c>
      <c r="J116" s="55">
        <f>ROUND(H116*I116, 2)</f>
        <v>31.42</v>
      </c>
      <c r="K116" s="56"/>
      <c r="L116" s="55">
        <f>SmtRes!DF16</f>
        <v>5.5</v>
      </c>
    </row>
    <row r="117" spans="1:101" ht="15">
      <c r="A117" s="44"/>
      <c r="B117" s="44"/>
      <c r="C117" s="58" t="s">
        <v>426</v>
      </c>
      <c r="D117" s="45"/>
      <c r="E117" s="46"/>
      <c r="F117" s="46"/>
      <c r="G117" s="46"/>
      <c r="H117" s="48"/>
      <c r="I117" s="47"/>
      <c r="J117" s="48"/>
      <c r="K117" s="47"/>
      <c r="L117" s="48">
        <f>L109+L111+L112+L115</f>
        <v>13889.74</v>
      </c>
    </row>
    <row r="118" spans="1:101" ht="28.5">
      <c r="A118" s="42" t="s">
        <v>447</v>
      </c>
      <c r="B118" s="44" t="str">
        <f>Source!F30</f>
        <v>04.3.01.09-0014</v>
      </c>
      <c r="C118" s="44" t="str">
        <f>Source!G30</f>
        <v>Раствор готовый кладочный, цементный, М100</v>
      </c>
      <c r="D118" s="45" t="str">
        <f>Source!H30</f>
        <v>м3</v>
      </c>
      <c r="E118" s="46">
        <f>SmtRes!AT17</f>
        <v>1.89</v>
      </c>
      <c r="F118" s="46"/>
      <c r="G118" s="46">
        <f>Source!I30</f>
        <v>0.94499999999999995</v>
      </c>
      <c r="H118" s="48"/>
      <c r="I118" s="47"/>
      <c r="J118" s="48">
        <f>Source!AK30</f>
        <v>6115.78</v>
      </c>
      <c r="K118" s="47"/>
      <c r="L118" s="48">
        <f>Source!P30</f>
        <v>5779.41</v>
      </c>
      <c r="AD118">
        <f>ROUND((Source!AT30/100)*((ROUND(ROUND(Source!AO30,2)*Source!I30, 2)+ROUND(ROUND(Source!AN30,2)*Source!I30, 2))), 2)</f>
        <v>0</v>
      </c>
      <c r="AE118">
        <f>ROUND((Source!AU30/100)*((ROUND(ROUND(Source!AO30,2)*Source!I30, 2)+ROUND(ROUND(Source!AN30,2)*Source!I30, 2))), 2)</f>
        <v>0</v>
      </c>
      <c r="AN118">
        <f>L118</f>
        <v>5779.41</v>
      </c>
      <c r="AW118">
        <f>L118</f>
        <v>5779.41</v>
      </c>
      <c r="AZ118">
        <f>Source!X30</f>
        <v>0</v>
      </c>
      <c r="BA118">
        <f>Source!Y30</f>
        <v>0</v>
      </c>
      <c r="CD118">
        <v>1</v>
      </c>
    </row>
    <row r="119" spans="1:101" ht="14.25">
      <c r="A119" s="44"/>
      <c r="B119" s="44"/>
      <c r="C119" s="44" t="s">
        <v>427</v>
      </c>
      <c r="D119" s="45"/>
      <c r="E119" s="46"/>
      <c r="F119" s="46"/>
      <c r="G119" s="46"/>
      <c r="H119" s="48"/>
      <c r="I119" s="47"/>
      <c r="J119" s="48"/>
      <c r="K119" s="47"/>
      <c r="L119" s="48">
        <f>SUM(AR106:AR122)+SUM(AS106:AS122)+SUM(AT106:AT122)+SUM(AU106:AU122)+SUM(AV106:AV122)</f>
        <v>13838.34</v>
      </c>
    </row>
    <row r="120" spans="1:101" ht="28.5">
      <c r="A120" s="44"/>
      <c r="B120" s="44" t="s">
        <v>448</v>
      </c>
      <c r="C120" s="44" t="s">
        <v>449</v>
      </c>
      <c r="D120" s="45" t="s">
        <v>429</v>
      </c>
      <c r="E120" s="46">
        <f>Source!BZ29</f>
        <v>100</v>
      </c>
      <c r="F120" s="46">
        <f>ROUND(0.9,7)</f>
        <v>0.9</v>
      </c>
      <c r="G120" s="46">
        <f>Source!AT29</f>
        <v>90</v>
      </c>
      <c r="H120" s="48"/>
      <c r="I120" s="47"/>
      <c r="J120" s="48"/>
      <c r="K120" s="47"/>
      <c r="L120" s="48">
        <f>SUM(AZ106:AZ122)</f>
        <v>12454.51</v>
      </c>
    </row>
    <row r="121" spans="1:101" ht="28.5">
      <c r="A121" s="52"/>
      <c r="B121" s="52" t="s">
        <v>450</v>
      </c>
      <c r="C121" s="52" t="s">
        <v>451</v>
      </c>
      <c r="D121" s="53" t="s">
        <v>429</v>
      </c>
      <c r="E121" s="54">
        <f>Source!CA29</f>
        <v>49</v>
      </c>
      <c r="F121" s="54">
        <f>ROUND(0.85,7)</f>
        <v>0.85</v>
      </c>
      <c r="G121" s="54">
        <f>Source!AU29</f>
        <v>41.65</v>
      </c>
      <c r="H121" s="55"/>
      <c r="I121" s="56"/>
      <c r="J121" s="55"/>
      <c r="K121" s="56"/>
      <c r="L121" s="55">
        <f>SUM(BA106:BA122)</f>
        <v>5763.67</v>
      </c>
    </row>
    <row r="122" spans="1:101" ht="15">
      <c r="C122" s="90" t="s">
        <v>431</v>
      </c>
      <c r="D122" s="90"/>
      <c r="E122" s="90"/>
      <c r="F122" s="90"/>
      <c r="G122" s="90"/>
      <c r="H122" s="90"/>
      <c r="I122" s="91">
        <f>IF(E106&lt;&gt;0,K122/E106, 0)</f>
        <v>75774.66</v>
      </c>
      <c r="J122" s="91"/>
      <c r="K122" s="91">
        <f>L109+L111+L115+L120+L121+L112+SUM(L118:L118)</f>
        <v>37887.33</v>
      </c>
      <c r="L122" s="91"/>
      <c r="AD122">
        <f>ROUND((Source!AT29/100)*((ROUND(SUMIF(SmtRes!AQ13:'SmtRes'!AQ17,"=1",SmtRes!AD13:'SmtRes'!AD17)*Source!I29, 2)+ROUND(SUMIF(SmtRes!AQ13:'SmtRes'!AQ17,"=1",SmtRes!AC13:'SmtRes'!AC17)*Source!I29, 2))), 2)</f>
        <v>177.26</v>
      </c>
      <c r="AE122">
        <f>ROUND((Source!AU29/100)*((ROUND(SUMIF(SmtRes!AQ13:'SmtRes'!AQ17,"=1",SmtRes!AD13:'SmtRes'!AD17)*Source!I29, 2)+ROUND(SUMIF(SmtRes!AQ13:'SmtRes'!AQ17,"=1",SmtRes!AC13:'SmtRes'!AC17)*Source!I29, 2))), 2)</f>
        <v>82.03</v>
      </c>
      <c r="AN122" s="57">
        <f>L109+L111+L115+L120+L121+L112</f>
        <v>32107.919999999998</v>
      </c>
      <c r="AO122" s="57">
        <f>L111</f>
        <v>45.900000000000006</v>
      </c>
      <c r="AQ122" t="s">
        <v>432</v>
      </c>
      <c r="AR122" s="57">
        <f>L109</f>
        <v>13838.34</v>
      </c>
      <c r="AT122" s="57">
        <f>L112</f>
        <v>0</v>
      </c>
      <c r="AV122" t="s">
        <v>432</v>
      </c>
      <c r="AW122" s="57">
        <f>L115</f>
        <v>5.5</v>
      </c>
      <c r="AZ122">
        <f>Source!X29</f>
        <v>12454.51</v>
      </c>
      <c r="BA122">
        <f>Source!Y29</f>
        <v>5763.67</v>
      </c>
      <c r="CD122">
        <v>1</v>
      </c>
    </row>
    <row r="123" spans="1:101" ht="57">
      <c r="A123" s="42" t="s">
        <v>77</v>
      </c>
      <c r="B123" s="44" t="s">
        <v>452</v>
      </c>
      <c r="C123" s="44" t="str">
        <f>Source!G31</f>
        <v>Гидроизоляция боковая обмазочная битумная в 2 слоя по выровненной поверхности бутовой кладки, кирпичу, бетону</v>
      </c>
      <c r="D123" s="45" t="str">
        <f>Source!H31</f>
        <v>100 м2</v>
      </c>
      <c r="E123" s="46">
        <f>Source!K31</f>
        <v>0.25</v>
      </c>
      <c r="F123" s="46"/>
      <c r="G123" s="46">
        <f>Source!I31</f>
        <v>0.25</v>
      </c>
      <c r="H123" s="48"/>
      <c r="I123" s="47"/>
      <c r="J123" s="48"/>
      <c r="K123" s="47"/>
      <c r="L123" s="48"/>
    </row>
    <row r="124" spans="1:101" ht="76.5" customHeight="1">
      <c r="B124" s="60" t="s">
        <v>377</v>
      </c>
      <c r="C124" s="88" t="s">
        <v>453</v>
      </c>
      <c r="D124" s="88"/>
      <c r="E124" s="88"/>
      <c r="F124" s="88"/>
      <c r="G124" s="88"/>
      <c r="H124" s="88"/>
      <c r="I124" s="88"/>
      <c r="J124" s="88"/>
      <c r="K124" s="88"/>
      <c r="L124" s="88"/>
      <c r="CW124" s="62" t="s">
        <v>453</v>
      </c>
    </row>
    <row r="125" spans="1:101" ht="76.5" customHeight="1">
      <c r="B125" s="60" t="s">
        <v>375</v>
      </c>
      <c r="C125" s="88" t="s">
        <v>446</v>
      </c>
      <c r="D125" s="88"/>
      <c r="E125" s="88"/>
      <c r="F125" s="88"/>
      <c r="G125" s="88"/>
      <c r="H125" s="88"/>
      <c r="I125" s="88"/>
      <c r="J125" s="88"/>
      <c r="K125" s="88"/>
      <c r="L125" s="88"/>
      <c r="CW125" s="62" t="s">
        <v>446</v>
      </c>
    </row>
    <row r="126" spans="1:101" ht="76.5">
      <c r="C126" s="89" t="s">
        <v>454</v>
      </c>
      <c r="D126" s="89"/>
      <c r="E126" s="89"/>
      <c r="F126" s="89"/>
      <c r="CW126" s="63" t="s">
        <v>454</v>
      </c>
    </row>
    <row r="127" spans="1:101">
      <c r="C127" s="49" t="str">
        <f>"Объем: "&amp;Source!I31&amp;"=25/"&amp;"100"</f>
        <v>Объем: 0,25=25/100</v>
      </c>
    </row>
    <row r="128" spans="1:101" ht="15">
      <c r="A128" s="43"/>
      <c r="B128" s="46">
        <v>1</v>
      </c>
      <c r="C128" s="43" t="s">
        <v>425</v>
      </c>
      <c r="D128" s="45" t="s">
        <v>271</v>
      </c>
      <c r="E128" s="50"/>
      <c r="F128" s="46"/>
      <c r="G128" s="46">
        <f>Source!U31</f>
        <v>7.0092499999999998</v>
      </c>
      <c r="H128" s="46"/>
      <c r="I128" s="46"/>
      <c r="J128" s="46"/>
      <c r="K128" s="46"/>
      <c r="L128" s="51">
        <f>SUM(L129:L129)-SUMIF(CE129:CE129, 1, L129:L129)</f>
        <v>2729.96</v>
      </c>
    </row>
    <row r="129" spans="1:83" ht="14.25">
      <c r="A129" s="44"/>
      <c r="B129" s="44" t="s">
        <v>310</v>
      </c>
      <c r="C129" s="44" t="s">
        <v>311</v>
      </c>
      <c r="D129" s="45" t="s">
        <v>271</v>
      </c>
      <c r="E129" s="46">
        <v>21.2</v>
      </c>
      <c r="F129" s="46">
        <f>ROUND((0.15+1)*1.15,7)</f>
        <v>1.3225</v>
      </c>
      <c r="G129" s="46">
        <f>SmtRes!CX18</f>
        <v>7.0092499999999998</v>
      </c>
      <c r="H129" s="48"/>
      <c r="I129" s="47"/>
      <c r="J129" s="48">
        <f>SmtRes!CZ18</f>
        <v>389.48</v>
      </c>
      <c r="K129" s="47"/>
      <c r="L129" s="48">
        <f>SmtRes!DI18</f>
        <v>2729.96</v>
      </c>
    </row>
    <row r="130" spans="1:83" ht="15">
      <c r="A130" s="43"/>
      <c r="B130" s="46">
        <v>2</v>
      </c>
      <c r="C130" s="43" t="s">
        <v>434</v>
      </c>
      <c r="D130" s="45"/>
      <c r="E130" s="50"/>
      <c r="F130" s="46"/>
      <c r="G130" s="46"/>
      <c r="H130" s="46"/>
      <c r="I130" s="46"/>
      <c r="J130" s="46"/>
      <c r="K130" s="46"/>
      <c r="L130" s="51">
        <f>SUM(L131:L134)-SUMIF(CE131:CE134, 1, L131:L134)</f>
        <v>152.43</v>
      </c>
    </row>
    <row r="131" spans="1:83" ht="15">
      <c r="A131" s="43"/>
      <c r="B131" s="46"/>
      <c r="C131" s="43" t="s">
        <v>436</v>
      </c>
      <c r="D131" s="45" t="s">
        <v>271</v>
      </c>
      <c r="E131" s="50"/>
      <c r="F131" s="46"/>
      <c r="G131" s="46">
        <f>Source!V31</f>
        <v>7.1874999999999994E-2</v>
      </c>
      <c r="H131" s="46"/>
      <c r="I131" s="46"/>
      <c r="J131" s="46"/>
      <c r="K131" s="46"/>
      <c r="L131" s="51">
        <f>SUMIF(CE132:CE134, 1, L132:L134)</f>
        <v>28.31</v>
      </c>
      <c r="CE131">
        <v>1</v>
      </c>
    </row>
    <row r="132" spans="1:83" ht="57">
      <c r="A132" s="44"/>
      <c r="B132" s="44" t="s">
        <v>312</v>
      </c>
      <c r="C132" s="44" t="s">
        <v>314</v>
      </c>
      <c r="D132" s="45" t="s">
        <v>279</v>
      </c>
      <c r="E132" s="46">
        <v>1.95</v>
      </c>
      <c r="F132" s="46">
        <f>ROUND((0.15+1)*1.25,7)</f>
        <v>1.4375</v>
      </c>
      <c r="G132" s="46">
        <f>SmtRes!CX20</f>
        <v>0.70078130000000005</v>
      </c>
      <c r="H132" s="48">
        <f>SmtRes!CZ20</f>
        <v>95.25</v>
      </c>
      <c r="I132" s="47">
        <f>SmtRes!AJ20</f>
        <v>1.66</v>
      </c>
      <c r="J132" s="48">
        <f>ROUND(H132*I132, 2)</f>
        <v>158.12</v>
      </c>
      <c r="K132" s="47"/>
      <c r="L132" s="48">
        <f>SmtRes!DG20</f>
        <v>110.81</v>
      </c>
    </row>
    <row r="133" spans="1:83" ht="28.5">
      <c r="A133" s="44"/>
      <c r="B133" s="44" t="s">
        <v>315</v>
      </c>
      <c r="C133" s="44" t="s">
        <v>317</v>
      </c>
      <c r="D133" s="45" t="s">
        <v>279</v>
      </c>
      <c r="E133" s="46">
        <v>0.2</v>
      </c>
      <c r="F133" s="46">
        <f>ROUND((0.15+1)*1.25,7)</f>
        <v>1.4375</v>
      </c>
      <c r="G133" s="46">
        <f>SmtRes!CX21</f>
        <v>7.1874999999999994E-2</v>
      </c>
      <c r="H133" s="48"/>
      <c r="I133" s="47"/>
      <c r="J133" s="48">
        <f>SmtRes!CZ21</f>
        <v>579.09</v>
      </c>
      <c r="K133" s="47"/>
      <c r="L133" s="48">
        <f>SmtRes!DG21</f>
        <v>41.62</v>
      </c>
    </row>
    <row r="134" spans="1:83" ht="28.5">
      <c r="A134" s="44"/>
      <c r="B134" s="44" t="s">
        <v>295</v>
      </c>
      <c r="C134" s="44" t="s">
        <v>441</v>
      </c>
      <c r="D134" s="45" t="s">
        <v>271</v>
      </c>
      <c r="E134" s="46">
        <f>SmtRes!DO21*SmtRes!AT21</f>
        <v>0.2</v>
      </c>
      <c r="F134" s="46">
        <f>ROUND((0.15+1)*1.25,7)</f>
        <v>1.4375</v>
      </c>
      <c r="G134" s="46">
        <f>ROUND(E134*F134*G123, 7)</f>
        <v>7.1874999999999994E-2</v>
      </c>
      <c r="H134" s="48"/>
      <c r="I134" s="47"/>
      <c r="J134" s="48">
        <f>ROUND(SmtRes!AG21/SmtRes!DO21, 2)</f>
        <v>393.89</v>
      </c>
      <c r="K134" s="47"/>
      <c r="L134" s="48">
        <f>SmtRes!DH21</f>
        <v>28.31</v>
      </c>
      <c r="CE134">
        <v>1</v>
      </c>
    </row>
    <row r="135" spans="1:83" ht="15">
      <c r="A135" s="43"/>
      <c r="B135" s="46">
        <v>4</v>
      </c>
      <c r="C135" s="43" t="s">
        <v>437</v>
      </c>
      <c r="D135" s="45"/>
      <c r="E135" s="50"/>
      <c r="F135" s="46"/>
      <c r="G135" s="46"/>
      <c r="H135" s="46"/>
      <c r="I135" s="46"/>
      <c r="J135" s="46"/>
      <c r="K135" s="46"/>
      <c r="L135" s="51">
        <f>SUM(L136:L137)-SUMIF(CE136:CE137, 1, L136:L137)</f>
        <v>442.58</v>
      </c>
    </row>
    <row r="136" spans="1:83" ht="14.25">
      <c r="A136" s="44"/>
      <c r="B136" s="44" t="s">
        <v>318</v>
      </c>
      <c r="C136" s="44" t="s">
        <v>320</v>
      </c>
      <c r="D136" s="45" t="s">
        <v>90</v>
      </c>
      <c r="E136" s="46">
        <v>2.4E-2</v>
      </c>
      <c r="F136" s="46"/>
      <c r="G136" s="46">
        <f>SmtRes!CX24</f>
        <v>6.0000000000000001E-3</v>
      </c>
      <c r="H136" s="48">
        <f>SmtRes!CZ24</f>
        <v>62186.75</v>
      </c>
      <c r="I136" s="47">
        <f>SmtRes!AI24</f>
        <v>1.18</v>
      </c>
      <c r="J136" s="48">
        <f>ROUND(H136*I136, 2)</f>
        <v>73380.37</v>
      </c>
      <c r="K136" s="47"/>
      <c r="L136" s="48">
        <f>SmtRes!DF24</f>
        <v>440.28</v>
      </c>
    </row>
    <row r="137" spans="1:83" ht="14.25">
      <c r="A137" s="44"/>
      <c r="B137" s="44" t="s">
        <v>321</v>
      </c>
      <c r="C137" s="52" t="s">
        <v>323</v>
      </c>
      <c r="D137" s="53" t="s">
        <v>95</v>
      </c>
      <c r="E137" s="54">
        <v>0.1</v>
      </c>
      <c r="F137" s="54"/>
      <c r="G137" s="54">
        <f>SmtRes!CX25</f>
        <v>2.5000000000000001E-2</v>
      </c>
      <c r="H137" s="55">
        <f>SmtRes!CZ25</f>
        <v>56.11</v>
      </c>
      <c r="I137" s="56">
        <f>SmtRes!AI25</f>
        <v>1.64</v>
      </c>
      <c r="J137" s="55">
        <f>ROUND(H137*I137, 2)</f>
        <v>92.02</v>
      </c>
      <c r="K137" s="56"/>
      <c r="L137" s="55">
        <f>SmtRes!DF25</f>
        <v>2.2999999999999998</v>
      </c>
    </row>
    <row r="138" spans="1:83" ht="15">
      <c r="A138" s="44"/>
      <c r="B138" s="44"/>
      <c r="C138" s="58" t="s">
        <v>426</v>
      </c>
      <c r="D138" s="45"/>
      <c r="E138" s="46"/>
      <c r="F138" s="46"/>
      <c r="G138" s="46"/>
      <c r="H138" s="48"/>
      <c r="I138" s="47"/>
      <c r="J138" s="48"/>
      <c r="K138" s="47"/>
      <c r="L138" s="48">
        <f>L128+L130+L131+L135</f>
        <v>3353.2799999999997</v>
      </c>
    </row>
    <row r="139" spans="1:83" ht="28.5">
      <c r="A139" s="42" t="s">
        <v>455</v>
      </c>
      <c r="B139" s="44" t="str">
        <f>Source!F32</f>
        <v>01.2.01.02-0054</v>
      </c>
      <c r="C139" s="44" t="str">
        <f>Source!G32</f>
        <v>Битум нефтяной строительный БН-90/10</v>
      </c>
      <c r="D139" s="45" t="str">
        <f>Source!H32</f>
        <v>т</v>
      </c>
      <c r="E139" s="46">
        <f>SmtRes!AT22</f>
        <v>1.6E-2</v>
      </c>
      <c r="F139" s="46"/>
      <c r="G139" s="46">
        <f>Source!I32</f>
        <v>4.0000000000000001E-3</v>
      </c>
      <c r="H139" s="48">
        <f>Source!AL32+Source!AO32+Source!AM32+Source!AN32</f>
        <v>22965.21</v>
      </c>
      <c r="I139" s="47">
        <f>IF(Source!BC32&lt;&gt; 0, Source!BC32, 1)</f>
        <v>0.85</v>
      </c>
      <c r="J139" s="48">
        <f>ROUND(H139*I139, 2)</f>
        <v>19520.43</v>
      </c>
      <c r="K139" s="47"/>
      <c r="L139" s="48">
        <f>Source!P32</f>
        <v>78.08</v>
      </c>
      <c r="AD139">
        <f>ROUND((Source!AT32/100)*((ROUND(ROUND(Source!AO32,2)*Source!I32, 2)+ROUND(ROUND(Source!AN32,2)*Source!I32, 2))), 2)</f>
        <v>0</v>
      </c>
      <c r="AE139">
        <f>ROUND((Source!AU32/100)*((ROUND(ROUND(Source!AO32,2)*Source!I32, 2)+ROUND(ROUND(Source!AN32,2)*Source!I32, 2))), 2)</f>
        <v>0</v>
      </c>
      <c r="AN139">
        <f>L139</f>
        <v>78.08</v>
      </c>
      <c r="AW139">
        <f>L139</f>
        <v>78.08</v>
      </c>
      <c r="AZ139">
        <f>Source!X32</f>
        <v>0</v>
      </c>
      <c r="BA139">
        <f>Source!Y32</f>
        <v>0</v>
      </c>
      <c r="CD139">
        <v>1</v>
      </c>
    </row>
    <row r="140" spans="1:83" ht="114">
      <c r="A140" s="42" t="s">
        <v>456</v>
      </c>
      <c r="B140" s="44" t="str">
        <f>Source!F33</f>
        <v>01.2.03.03-0103</v>
      </c>
      <c r="C140" s="44" t="str">
        <f>Source!G33</f>
        <v>Мастика битумная гидроизоляционная для подземных строительных конструкций, холодная, готовая к применению, диапазон температур от -20 до +40 °C, прочность сцепления с металлом/бетоном не менее 0,1 МПа, расход для горизонтальной поверхности 1 кг/м2</v>
      </c>
      <c r="D140" s="45" t="str">
        <f>Source!H33</f>
        <v>кг</v>
      </c>
      <c r="E140" s="46">
        <f>SmtRes!AT23</f>
        <v>240</v>
      </c>
      <c r="F140" s="46"/>
      <c r="G140" s="46">
        <f>Source!I33</f>
        <v>60</v>
      </c>
      <c r="H140" s="48">
        <f>Source!AL33+Source!AO33+Source!AM33+Source!AN33</f>
        <v>122.98</v>
      </c>
      <c r="I140" s="47">
        <f>IF(Source!BC33&lt;&gt; 0, Source!BC33, 1)</f>
        <v>1.69</v>
      </c>
      <c r="J140" s="48">
        <f>ROUND(H140*I140, 2)</f>
        <v>207.84</v>
      </c>
      <c r="K140" s="47"/>
      <c r="L140" s="48">
        <f>Source!P33</f>
        <v>12470.4</v>
      </c>
      <c r="AD140">
        <f>ROUND((Source!AT33/100)*((ROUND(ROUND(Source!AO33,2)*Source!I33, 2)+ROUND(ROUND(Source!AN33,2)*Source!I33, 2))), 2)</f>
        <v>0</v>
      </c>
      <c r="AE140">
        <f>ROUND((Source!AU33/100)*((ROUND(ROUND(Source!AO33,2)*Source!I33, 2)+ROUND(ROUND(Source!AN33,2)*Source!I33, 2))), 2)</f>
        <v>0</v>
      </c>
      <c r="AN140">
        <f>L140</f>
        <v>12470.4</v>
      </c>
      <c r="AW140">
        <f>L140</f>
        <v>12470.4</v>
      </c>
      <c r="AZ140">
        <f>Source!X33</f>
        <v>0</v>
      </c>
      <c r="BA140">
        <f>Source!Y33</f>
        <v>0</v>
      </c>
      <c r="CD140">
        <v>1</v>
      </c>
    </row>
    <row r="141" spans="1:83" ht="14.25">
      <c r="A141" s="44"/>
      <c r="B141" s="44"/>
      <c r="C141" s="44" t="s">
        <v>427</v>
      </c>
      <c r="D141" s="45"/>
      <c r="E141" s="46"/>
      <c r="F141" s="46"/>
      <c r="G141" s="46"/>
      <c r="H141" s="48"/>
      <c r="I141" s="47"/>
      <c r="J141" s="48"/>
      <c r="K141" s="47"/>
      <c r="L141" s="48">
        <f>SUM(AR123:AR144)+SUM(AS123:AS144)+SUM(AT123:AT144)+SUM(AU123:AU144)+SUM(AV123:AV144)</f>
        <v>2758.27</v>
      </c>
    </row>
    <row r="142" spans="1:83" ht="28.5">
      <c r="A142" s="44"/>
      <c r="B142" s="44" t="s">
        <v>457</v>
      </c>
      <c r="C142" s="44" t="s">
        <v>458</v>
      </c>
      <c r="D142" s="45" t="s">
        <v>429</v>
      </c>
      <c r="E142" s="46">
        <f>Source!BZ31</f>
        <v>110</v>
      </c>
      <c r="F142" s="46">
        <f>ROUND(0.9,7)</f>
        <v>0.9</v>
      </c>
      <c r="G142" s="46">
        <f>Source!AT31</f>
        <v>99</v>
      </c>
      <c r="H142" s="48"/>
      <c r="I142" s="47"/>
      <c r="J142" s="48"/>
      <c r="K142" s="47"/>
      <c r="L142" s="48">
        <f>SUM(AZ123:AZ144)</f>
        <v>2730.69</v>
      </c>
    </row>
    <row r="143" spans="1:83" ht="28.5">
      <c r="A143" s="52"/>
      <c r="B143" s="52" t="s">
        <v>459</v>
      </c>
      <c r="C143" s="52" t="s">
        <v>460</v>
      </c>
      <c r="D143" s="53" t="s">
        <v>429</v>
      </c>
      <c r="E143" s="54">
        <f>Source!CA31</f>
        <v>69</v>
      </c>
      <c r="F143" s="54">
        <f>ROUND(0.85,7)</f>
        <v>0.85</v>
      </c>
      <c r="G143" s="54">
        <f>Source!AU31</f>
        <v>58.65</v>
      </c>
      <c r="H143" s="55"/>
      <c r="I143" s="56"/>
      <c r="J143" s="55"/>
      <c r="K143" s="56"/>
      <c r="L143" s="55">
        <f>SUM(BA123:BA144)</f>
        <v>1617.73</v>
      </c>
    </row>
    <row r="144" spans="1:83" ht="15">
      <c r="C144" s="90" t="s">
        <v>431</v>
      </c>
      <c r="D144" s="90"/>
      <c r="E144" s="90"/>
      <c r="F144" s="90"/>
      <c r="G144" s="90"/>
      <c r="H144" s="90"/>
      <c r="I144" s="91">
        <f>IF(E123&lt;&gt;0,K144/E123, 0)</f>
        <v>81000.72</v>
      </c>
      <c r="J144" s="91"/>
      <c r="K144" s="91">
        <f>L128+L130+L135+L142+L143+L131+SUM(L139:L140)</f>
        <v>20250.18</v>
      </c>
      <c r="L144" s="91"/>
      <c r="AD144">
        <f>ROUND((Source!AT31/100)*((ROUND(SUMIF(SmtRes!AQ18:'SmtRes'!AQ25,"=1",SmtRes!AD18:'SmtRes'!AD25)*Source!I31, 2)+ROUND(SUMIF(SmtRes!AQ18:'SmtRes'!AQ25,"=1",SmtRes!AC18:'SmtRes'!AC25)*Source!I31, 2))), 2)</f>
        <v>193.88</v>
      </c>
      <c r="AE144">
        <f>ROUND((Source!AU31/100)*((ROUND(SUMIF(SmtRes!AQ18:'SmtRes'!AQ25,"=1",SmtRes!AD18:'SmtRes'!AD25)*Source!I31, 2)+ROUND(SUMIF(SmtRes!AQ18:'SmtRes'!AQ25,"=1",SmtRes!AC18:'SmtRes'!AC25)*Source!I31, 2))), 2)</f>
        <v>114.86</v>
      </c>
      <c r="AN144" s="57">
        <f>L128+L130+L135+L142+L143+L131</f>
        <v>7701.7</v>
      </c>
      <c r="AO144" s="57">
        <f>L130</f>
        <v>152.43</v>
      </c>
      <c r="AQ144" t="s">
        <v>432</v>
      </c>
      <c r="AR144" s="57">
        <f>L128</f>
        <v>2729.96</v>
      </c>
      <c r="AT144" s="57">
        <f>L131</f>
        <v>28.31</v>
      </c>
      <c r="AV144" t="s">
        <v>432</v>
      </c>
      <c r="AW144" s="57">
        <f>L135</f>
        <v>442.58</v>
      </c>
      <c r="AZ144">
        <f>Source!X31</f>
        <v>2730.69</v>
      </c>
      <c r="BA144">
        <f>Source!Y31</f>
        <v>1617.73</v>
      </c>
      <c r="CD144">
        <v>1</v>
      </c>
    </row>
    <row r="145" spans="1:101" ht="42.75">
      <c r="A145" s="42" t="s">
        <v>97</v>
      </c>
      <c r="B145" s="44" t="s">
        <v>461</v>
      </c>
      <c r="C145" s="44" t="str">
        <f>Source!G34</f>
        <v>Устройство подстилающих и выравнивающих слоев оснований: из песка</v>
      </c>
      <c r="D145" s="45" t="str">
        <f>Source!H34</f>
        <v>100 м3</v>
      </c>
      <c r="E145" s="46">
        <f>Source!K34</f>
        <v>0.05</v>
      </c>
      <c r="F145" s="46"/>
      <c r="G145" s="46">
        <f>Source!I34</f>
        <v>0.05</v>
      </c>
      <c r="H145" s="48"/>
      <c r="I145" s="47"/>
      <c r="J145" s="48"/>
      <c r="K145" s="47"/>
      <c r="L145" s="48"/>
    </row>
    <row r="146" spans="1:101" ht="76.5" customHeight="1">
      <c r="B146" s="60" t="s">
        <v>377</v>
      </c>
      <c r="C146" s="88" t="s">
        <v>453</v>
      </c>
      <c r="D146" s="88"/>
      <c r="E146" s="88"/>
      <c r="F146" s="88"/>
      <c r="G146" s="88"/>
      <c r="H146" s="88"/>
      <c r="I146" s="88"/>
      <c r="J146" s="88"/>
      <c r="K146" s="88"/>
      <c r="L146" s="88"/>
      <c r="CW146" s="62" t="s">
        <v>453</v>
      </c>
    </row>
    <row r="147" spans="1:101" ht="76.5" customHeight="1">
      <c r="B147" s="60" t="s">
        <v>375</v>
      </c>
      <c r="C147" s="88" t="s">
        <v>446</v>
      </c>
      <c r="D147" s="88"/>
      <c r="E147" s="88"/>
      <c r="F147" s="88"/>
      <c r="G147" s="88"/>
      <c r="H147" s="88"/>
      <c r="I147" s="88"/>
      <c r="J147" s="88"/>
      <c r="K147" s="88"/>
      <c r="L147" s="88"/>
      <c r="CW147" s="62" t="s">
        <v>446</v>
      </c>
    </row>
    <row r="148" spans="1:101" ht="76.5">
      <c r="C148" s="89" t="s">
        <v>454</v>
      </c>
      <c r="D148" s="89"/>
      <c r="E148" s="89"/>
      <c r="F148" s="89"/>
      <c r="CW148" s="63" t="s">
        <v>454</v>
      </c>
    </row>
    <row r="149" spans="1:101">
      <c r="C149" s="49" t="str">
        <f>"Объем: "&amp;Source!I34&amp;"=5/"&amp;"100"</f>
        <v>Объем: 0,05=5/100</v>
      </c>
    </row>
    <row r="150" spans="1:101" ht="15">
      <c r="A150" s="43"/>
      <c r="B150" s="46">
        <v>1</v>
      </c>
      <c r="C150" s="43" t="s">
        <v>425</v>
      </c>
      <c r="D150" s="45" t="s">
        <v>271</v>
      </c>
      <c r="E150" s="50"/>
      <c r="F150" s="46"/>
      <c r="G150" s="46">
        <f>Source!U34</f>
        <v>0.95220000000000005</v>
      </c>
      <c r="H150" s="46"/>
      <c r="I150" s="46"/>
      <c r="J150" s="46"/>
      <c r="K150" s="46"/>
      <c r="L150" s="51">
        <f>SUM(L151:L151)-SUMIF(CE151:CE151, 1, L151:L151)</f>
        <v>313.48</v>
      </c>
    </row>
    <row r="151" spans="1:101" ht="14.25">
      <c r="A151" s="44"/>
      <c r="B151" s="44" t="s">
        <v>324</v>
      </c>
      <c r="C151" s="44" t="s">
        <v>325</v>
      </c>
      <c r="D151" s="45" t="s">
        <v>271</v>
      </c>
      <c r="E151" s="46">
        <v>14.4</v>
      </c>
      <c r="F151" s="46">
        <f>ROUND((0.15+1)*1.15,7)</f>
        <v>1.3225</v>
      </c>
      <c r="G151" s="46">
        <f>SmtRes!CX26</f>
        <v>0.95220000000000005</v>
      </c>
      <c r="H151" s="48"/>
      <c r="I151" s="47"/>
      <c r="J151" s="48">
        <f>SmtRes!CZ26</f>
        <v>329.22</v>
      </c>
      <c r="K151" s="47"/>
      <c r="L151" s="48">
        <f>SmtRes!DI26</f>
        <v>313.48</v>
      </c>
    </row>
    <row r="152" spans="1:101" ht="15">
      <c r="A152" s="43"/>
      <c r="B152" s="46">
        <v>2</v>
      </c>
      <c r="C152" s="43" t="s">
        <v>434</v>
      </c>
      <c r="D152" s="45"/>
      <c r="E152" s="50"/>
      <c r="F152" s="46"/>
      <c r="G152" s="46"/>
      <c r="H152" s="46"/>
      <c r="I152" s="46"/>
      <c r="J152" s="46"/>
      <c r="K152" s="46"/>
      <c r="L152" s="51">
        <f>SUM(L153:L161)-SUMIF(CE153:CE161, 1, L153:L161)</f>
        <v>2858.2099999999991</v>
      </c>
    </row>
    <row r="153" spans="1:101" ht="15">
      <c r="A153" s="43"/>
      <c r="B153" s="46"/>
      <c r="C153" s="43" t="s">
        <v>436</v>
      </c>
      <c r="D153" s="45" t="s">
        <v>271</v>
      </c>
      <c r="E153" s="50"/>
      <c r="F153" s="46"/>
      <c r="G153" s="46">
        <f>Source!V34</f>
        <v>0.99762510000000004</v>
      </c>
      <c r="H153" s="46"/>
      <c r="I153" s="46"/>
      <c r="J153" s="46"/>
      <c r="K153" s="46"/>
      <c r="L153" s="51">
        <f>SUMIF(CE154:CE161, 1, L154:L161)</f>
        <v>497.09</v>
      </c>
      <c r="CE153">
        <v>1</v>
      </c>
    </row>
    <row r="154" spans="1:101" ht="28.5">
      <c r="A154" s="44"/>
      <c r="B154" s="44" t="s">
        <v>326</v>
      </c>
      <c r="C154" s="44" t="s">
        <v>328</v>
      </c>
      <c r="D154" s="45" t="s">
        <v>279</v>
      </c>
      <c r="E154" s="46">
        <v>1.77</v>
      </c>
      <c r="F154" s="46">
        <f t="shared" ref="F154:F161" si="0">ROUND((0.15+1)*1.25,7)</f>
        <v>1.4375</v>
      </c>
      <c r="G154" s="46">
        <f>SmtRes!CX28</f>
        <v>0.12721879999999999</v>
      </c>
      <c r="H154" s="48">
        <f>SmtRes!CZ28</f>
        <v>1933</v>
      </c>
      <c r="I154" s="47">
        <f>SmtRes!AJ28</f>
        <v>1.37</v>
      </c>
      <c r="J154" s="48">
        <f>ROUND(H154*I154, 2)</f>
        <v>2648.21</v>
      </c>
      <c r="K154" s="47"/>
      <c r="L154" s="48">
        <f>SmtRes!DG28</f>
        <v>336.9</v>
      </c>
    </row>
    <row r="155" spans="1:101" ht="28.5">
      <c r="A155" s="44"/>
      <c r="B155" s="44" t="s">
        <v>280</v>
      </c>
      <c r="C155" s="44" t="s">
        <v>435</v>
      </c>
      <c r="D155" s="45" t="s">
        <v>271</v>
      </c>
      <c r="E155" s="46">
        <f>SmtRes!DO28*SmtRes!AT28</f>
        <v>1.77</v>
      </c>
      <c r="F155" s="46">
        <f t="shared" si="0"/>
        <v>1.4375</v>
      </c>
      <c r="G155" s="46">
        <f>ROUND(E155*F155*G145, 7)</f>
        <v>0.12721879999999999</v>
      </c>
      <c r="H155" s="48"/>
      <c r="I155" s="47"/>
      <c r="J155" s="48">
        <f>ROUND(SmtRes!AG28/SmtRes!DO28, 2)</f>
        <v>529.11</v>
      </c>
      <c r="K155" s="47"/>
      <c r="L155" s="48">
        <f>SmtRes!DH28</f>
        <v>67.31</v>
      </c>
      <c r="CE155">
        <v>1</v>
      </c>
    </row>
    <row r="156" spans="1:101" ht="71.25">
      <c r="A156" s="44"/>
      <c r="B156" s="44" t="s">
        <v>329</v>
      </c>
      <c r="C156" s="44" t="s">
        <v>331</v>
      </c>
      <c r="D156" s="45" t="s">
        <v>279</v>
      </c>
      <c r="E156" s="46">
        <v>4.29</v>
      </c>
      <c r="F156" s="46">
        <f t="shared" si="0"/>
        <v>1.4375</v>
      </c>
      <c r="G156" s="46">
        <f>SmtRes!CX29</f>
        <v>0.3083438</v>
      </c>
      <c r="H156" s="48"/>
      <c r="I156" s="47"/>
      <c r="J156" s="48">
        <f>SmtRes!CZ29</f>
        <v>1647.51</v>
      </c>
      <c r="K156" s="47"/>
      <c r="L156" s="48">
        <f>SmtRes!DG29</f>
        <v>508</v>
      </c>
    </row>
    <row r="157" spans="1:101" ht="28.5">
      <c r="A157" s="44"/>
      <c r="B157" s="44" t="s">
        <v>332</v>
      </c>
      <c r="C157" s="44" t="s">
        <v>462</v>
      </c>
      <c r="D157" s="45" t="s">
        <v>271</v>
      </c>
      <c r="E157" s="46">
        <f>SmtRes!DO29*SmtRes!AT29</f>
        <v>4.29</v>
      </c>
      <c r="F157" s="46">
        <f t="shared" si="0"/>
        <v>1.4375</v>
      </c>
      <c r="G157" s="46">
        <f>ROUND(E157*F157*G145, 7)</f>
        <v>0.3083438</v>
      </c>
      <c r="H157" s="48"/>
      <c r="I157" s="47"/>
      <c r="J157" s="48">
        <f>ROUND(SmtRes!AG29/SmtRes!DO29, 2)</f>
        <v>452.68</v>
      </c>
      <c r="K157" s="47"/>
      <c r="L157" s="48">
        <f>SmtRes!DH29</f>
        <v>139.58000000000001</v>
      </c>
      <c r="CE157">
        <v>1</v>
      </c>
    </row>
    <row r="158" spans="1:101" ht="28.5">
      <c r="A158" s="44"/>
      <c r="B158" s="44" t="s">
        <v>333</v>
      </c>
      <c r="C158" s="44" t="s">
        <v>335</v>
      </c>
      <c r="D158" s="45" t="s">
        <v>279</v>
      </c>
      <c r="E158" s="46">
        <v>7.08</v>
      </c>
      <c r="F158" s="46">
        <f t="shared" si="0"/>
        <v>1.4375</v>
      </c>
      <c r="G158" s="46">
        <f>SmtRes!CX30</f>
        <v>0.50887499999999997</v>
      </c>
      <c r="H158" s="48">
        <f>SmtRes!CZ30</f>
        <v>2391.6</v>
      </c>
      <c r="I158" s="47">
        <f>SmtRes!AJ30</f>
        <v>1.59</v>
      </c>
      <c r="J158" s="48">
        <f>ROUND(H158*I158, 2)</f>
        <v>3802.64</v>
      </c>
      <c r="K158" s="47"/>
      <c r="L158" s="48">
        <f>SmtRes!DG30</f>
        <v>1935.07</v>
      </c>
    </row>
    <row r="159" spans="1:101" ht="28.5">
      <c r="A159" s="44"/>
      <c r="B159" s="44" t="s">
        <v>280</v>
      </c>
      <c r="C159" s="44" t="s">
        <v>435</v>
      </c>
      <c r="D159" s="45" t="s">
        <v>271</v>
      </c>
      <c r="E159" s="46">
        <f>SmtRes!DO30*SmtRes!AT30</f>
        <v>7.08</v>
      </c>
      <c r="F159" s="46">
        <f t="shared" si="0"/>
        <v>1.4375</v>
      </c>
      <c r="G159" s="46">
        <f>ROUND(E159*F159*G145, 7)</f>
        <v>0.50887499999999997</v>
      </c>
      <c r="H159" s="48"/>
      <c r="I159" s="47"/>
      <c r="J159" s="48">
        <f>ROUND(SmtRes!AG30/SmtRes!DO30, 2)</f>
        <v>529.11</v>
      </c>
      <c r="K159" s="47"/>
      <c r="L159" s="48">
        <f>SmtRes!DH30</f>
        <v>269.25</v>
      </c>
      <c r="CE159">
        <v>1</v>
      </c>
    </row>
    <row r="160" spans="1:101" ht="28.5">
      <c r="A160" s="44"/>
      <c r="B160" s="44" t="s">
        <v>336</v>
      </c>
      <c r="C160" s="44" t="s">
        <v>338</v>
      </c>
      <c r="D160" s="45" t="s">
        <v>279</v>
      </c>
      <c r="E160" s="46">
        <v>0.74</v>
      </c>
      <c r="F160" s="46">
        <f t="shared" si="0"/>
        <v>1.4375</v>
      </c>
      <c r="G160" s="46">
        <f>SmtRes!CX31</f>
        <v>5.3187499999999999E-2</v>
      </c>
      <c r="H160" s="48"/>
      <c r="I160" s="47"/>
      <c r="J160" s="48">
        <f>SmtRes!CZ31</f>
        <v>1471.1</v>
      </c>
      <c r="K160" s="47"/>
      <c r="L160" s="48">
        <f>SmtRes!DG31</f>
        <v>78.239999999999995</v>
      </c>
    </row>
    <row r="161" spans="1:101" ht="28.5">
      <c r="A161" s="44"/>
      <c r="B161" s="44" t="s">
        <v>295</v>
      </c>
      <c r="C161" s="44" t="s">
        <v>441</v>
      </c>
      <c r="D161" s="45" t="s">
        <v>271</v>
      </c>
      <c r="E161" s="46">
        <f>SmtRes!DO31*SmtRes!AT31</f>
        <v>0.74</v>
      </c>
      <c r="F161" s="46">
        <f t="shared" si="0"/>
        <v>1.4375</v>
      </c>
      <c r="G161" s="46">
        <f>ROUND(E161*F161*G145, 7)</f>
        <v>5.3187499999999999E-2</v>
      </c>
      <c r="H161" s="48"/>
      <c r="I161" s="47"/>
      <c r="J161" s="48">
        <f>ROUND(SmtRes!AG31/SmtRes!DO31, 2)</f>
        <v>393.89</v>
      </c>
      <c r="K161" s="47"/>
      <c r="L161" s="48">
        <f>SmtRes!DH31</f>
        <v>20.95</v>
      </c>
      <c r="CE161">
        <v>1</v>
      </c>
    </row>
    <row r="162" spans="1:101" ht="15">
      <c r="A162" s="43"/>
      <c r="B162" s="46">
        <v>4</v>
      </c>
      <c r="C162" s="43" t="s">
        <v>437</v>
      </c>
      <c r="D162" s="45"/>
      <c r="E162" s="50"/>
      <c r="F162" s="46"/>
      <c r="G162" s="46"/>
      <c r="H162" s="46"/>
      <c r="I162" s="46"/>
      <c r="J162" s="46"/>
      <c r="K162" s="46"/>
      <c r="L162" s="51">
        <f>SUM(L163:L163)-SUMIF(CE163:CE163, 1, L163:L163)</f>
        <v>7.86</v>
      </c>
    </row>
    <row r="163" spans="1:101" ht="14.25">
      <c r="A163" s="44"/>
      <c r="B163" s="44" t="s">
        <v>307</v>
      </c>
      <c r="C163" s="52" t="s">
        <v>309</v>
      </c>
      <c r="D163" s="53" t="s">
        <v>75</v>
      </c>
      <c r="E163" s="54">
        <v>5</v>
      </c>
      <c r="F163" s="54"/>
      <c r="G163" s="54">
        <f>SmtRes!CX32</f>
        <v>0.25</v>
      </c>
      <c r="H163" s="55">
        <f>SmtRes!CZ32</f>
        <v>35.71</v>
      </c>
      <c r="I163" s="56">
        <f>SmtRes!AI32</f>
        <v>0.88</v>
      </c>
      <c r="J163" s="55">
        <f>ROUND(H163*I163, 2)</f>
        <v>31.42</v>
      </c>
      <c r="K163" s="56"/>
      <c r="L163" s="55">
        <f>SmtRes!DF32</f>
        <v>7.86</v>
      </c>
    </row>
    <row r="164" spans="1:101" ht="15">
      <c r="A164" s="44"/>
      <c r="B164" s="44"/>
      <c r="C164" s="58" t="s">
        <v>426</v>
      </c>
      <c r="D164" s="45"/>
      <c r="E164" s="46"/>
      <c r="F164" s="46"/>
      <c r="G164" s="46"/>
      <c r="H164" s="48"/>
      <c r="I164" s="47"/>
      <c r="J164" s="48"/>
      <c r="K164" s="47"/>
      <c r="L164" s="48">
        <f>L150+L152+L153+L162</f>
        <v>3676.6399999999994</v>
      </c>
    </row>
    <row r="165" spans="1:101" ht="28.5">
      <c r="A165" s="42" t="s">
        <v>463</v>
      </c>
      <c r="B165" s="44" t="str">
        <f>Source!F35</f>
        <v>02.3.01.02-1118</v>
      </c>
      <c r="C165" s="44" t="str">
        <f>Source!G35</f>
        <v>Песок природный для строительных работ II класс, средний</v>
      </c>
      <c r="D165" s="45" t="str">
        <f>Source!H35</f>
        <v>м3</v>
      </c>
      <c r="E165" s="46">
        <f>SmtRes!AT33</f>
        <v>100</v>
      </c>
      <c r="F165" s="46"/>
      <c r="G165" s="46">
        <f>Source!I35</f>
        <v>5</v>
      </c>
      <c r="H165" s="48">
        <f>Source!AL35+Source!AO35+Source!AM35+Source!AN35</f>
        <v>565.20000000000005</v>
      </c>
      <c r="I165" s="47">
        <f>IF(Source!BC35&lt;&gt; 0, Source!BC35, 1)</f>
        <v>3.55</v>
      </c>
      <c r="J165" s="48">
        <f>ROUND(H165*I165, 2)</f>
        <v>2006.46</v>
      </c>
      <c r="K165" s="47"/>
      <c r="L165" s="48">
        <f>Source!P35</f>
        <v>10032.299999999999</v>
      </c>
      <c r="AD165">
        <f>ROUND((Source!AT35/100)*((ROUND(ROUND(Source!AO35,2)*Source!I35, 2)+ROUND(ROUND(Source!AN35,2)*Source!I35, 2))), 2)</f>
        <v>0</v>
      </c>
      <c r="AE165">
        <f>ROUND((Source!AU35/100)*((ROUND(ROUND(Source!AO35,2)*Source!I35, 2)+ROUND(ROUND(Source!AN35,2)*Source!I35, 2))), 2)</f>
        <v>0</v>
      </c>
      <c r="AN165">
        <f>L165</f>
        <v>10032.299999999999</v>
      </c>
      <c r="AW165">
        <f>L165</f>
        <v>10032.299999999999</v>
      </c>
      <c r="AZ165">
        <f>Source!X35</f>
        <v>0</v>
      </c>
      <c r="BA165">
        <f>Source!Y35</f>
        <v>0</v>
      </c>
      <c r="CD165">
        <v>1</v>
      </c>
    </row>
    <row r="166" spans="1:101" ht="14.25">
      <c r="A166" s="44"/>
      <c r="B166" s="44"/>
      <c r="C166" s="44" t="s">
        <v>427</v>
      </c>
      <c r="D166" s="45"/>
      <c r="E166" s="46"/>
      <c r="F166" s="46"/>
      <c r="G166" s="46"/>
      <c r="H166" s="48"/>
      <c r="I166" s="47"/>
      <c r="J166" s="48"/>
      <c r="K166" s="47"/>
      <c r="L166" s="48">
        <f>SUM(AR145:AR169)+SUM(AS145:AS169)+SUM(AT145:AT169)+SUM(AU145:AU169)+SUM(AV145:AV169)</f>
        <v>810.56999999999994</v>
      </c>
    </row>
    <row r="167" spans="1:101" ht="28.5">
      <c r="A167" s="44"/>
      <c r="B167" s="44" t="s">
        <v>464</v>
      </c>
      <c r="C167" s="44" t="s">
        <v>465</v>
      </c>
      <c r="D167" s="45" t="s">
        <v>429</v>
      </c>
      <c r="E167" s="46">
        <f>Source!BZ34</f>
        <v>147</v>
      </c>
      <c r="F167" s="46">
        <f>ROUND(0.9,7)</f>
        <v>0.9</v>
      </c>
      <c r="G167" s="46">
        <f>Source!AT34</f>
        <v>132.30000000000001</v>
      </c>
      <c r="H167" s="48"/>
      <c r="I167" s="47"/>
      <c r="J167" s="48"/>
      <c r="K167" s="47"/>
      <c r="L167" s="48">
        <f>SUM(AZ145:AZ169)</f>
        <v>1072.3800000000001</v>
      </c>
    </row>
    <row r="168" spans="1:101" ht="28.5">
      <c r="A168" s="52"/>
      <c r="B168" s="52" t="s">
        <v>466</v>
      </c>
      <c r="C168" s="52" t="s">
        <v>467</v>
      </c>
      <c r="D168" s="53" t="s">
        <v>429</v>
      </c>
      <c r="E168" s="54">
        <f>Source!CA34</f>
        <v>134</v>
      </c>
      <c r="F168" s="54">
        <f>ROUND(0.85,7)</f>
        <v>0.85</v>
      </c>
      <c r="G168" s="54">
        <f>Source!AU34</f>
        <v>113.9</v>
      </c>
      <c r="H168" s="55"/>
      <c r="I168" s="56"/>
      <c r="J168" s="55"/>
      <c r="K168" s="56"/>
      <c r="L168" s="55">
        <f>SUM(BA145:BA169)</f>
        <v>923.24</v>
      </c>
    </row>
    <row r="169" spans="1:101" ht="15">
      <c r="C169" s="90" t="s">
        <v>431</v>
      </c>
      <c r="D169" s="90"/>
      <c r="E169" s="90"/>
      <c r="F169" s="90"/>
      <c r="G169" s="90"/>
      <c r="H169" s="90"/>
      <c r="I169" s="91">
        <f>IF(E145&lt;&gt;0,K169/E145, 0)</f>
        <v>314091.19999999995</v>
      </c>
      <c r="J169" s="91"/>
      <c r="K169" s="91">
        <f>L150+L152+L162+L167+L168+L153+SUM(L165:L165)</f>
        <v>15704.559999999998</v>
      </c>
      <c r="L169" s="91"/>
      <c r="AD169">
        <f>ROUND((Source!AT34/100)*((ROUND(SUMIF(SmtRes!AQ26:'SmtRes'!AQ33,"=1",SmtRes!AD26:'SmtRes'!AD33)*Source!I34, 2)+ROUND(SUMIF(SmtRes!AQ26:'SmtRes'!AQ33,"=1",SmtRes!AC26:'SmtRes'!AC33)*Source!I34, 2))), 2)</f>
        <v>147.78</v>
      </c>
      <c r="AE169">
        <f>ROUND((Source!AU34/100)*((ROUND(SUMIF(SmtRes!AQ26:'SmtRes'!AQ33,"=1",SmtRes!AD26:'SmtRes'!AD33)*Source!I34, 2)+ROUND(SUMIF(SmtRes!AQ26:'SmtRes'!AQ33,"=1",SmtRes!AC26:'SmtRes'!AC33)*Source!I34, 2))), 2)</f>
        <v>127.23</v>
      </c>
      <c r="AN169" s="57">
        <f>L150+L152+L162+L167+L168+L153</f>
        <v>5672.2599999999993</v>
      </c>
      <c r="AO169" s="57">
        <f>L152</f>
        <v>2858.2099999999991</v>
      </c>
      <c r="AQ169" t="s">
        <v>432</v>
      </c>
      <c r="AR169" s="57">
        <f>L150</f>
        <v>313.48</v>
      </c>
      <c r="AT169" s="57">
        <f>L153</f>
        <v>497.09</v>
      </c>
      <c r="AV169" t="s">
        <v>432</v>
      </c>
      <c r="AW169" s="57">
        <f>L162</f>
        <v>7.86</v>
      </c>
      <c r="AZ169">
        <f>Source!X34</f>
        <v>1072.3800000000001</v>
      </c>
      <c r="BA169">
        <f>Source!Y34</f>
        <v>923.24</v>
      </c>
      <c r="CD169">
        <v>1</v>
      </c>
    </row>
    <row r="170" spans="1:101" ht="28.5">
      <c r="A170" s="42" t="s">
        <v>109</v>
      </c>
      <c r="B170" s="44" t="s">
        <v>468</v>
      </c>
      <c r="C170" s="44" t="str">
        <f>Source!G36</f>
        <v>Устройство теплоизоляционного слоя из пенопласта</v>
      </c>
      <c r="D170" s="45" t="str">
        <f>Source!H36</f>
        <v>100 м3</v>
      </c>
      <c r="E170" s="46">
        <f>Source!K36</f>
        <v>0.05</v>
      </c>
      <c r="F170" s="46"/>
      <c r="G170" s="46">
        <f>Source!I36</f>
        <v>0.05</v>
      </c>
      <c r="H170" s="48"/>
      <c r="I170" s="47"/>
      <c r="J170" s="48"/>
      <c r="K170" s="47"/>
      <c r="L170" s="48"/>
    </row>
    <row r="171" spans="1:101" ht="76.5" customHeight="1">
      <c r="B171" s="60" t="s">
        <v>377</v>
      </c>
      <c r="C171" s="88" t="s">
        <v>453</v>
      </c>
      <c r="D171" s="88"/>
      <c r="E171" s="88"/>
      <c r="F171" s="88"/>
      <c r="G171" s="88"/>
      <c r="H171" s="88"/>
      <c r="I171" s="88"/>
      <c r="J171" s="88"/>
      <c r="K171" s="88"/>
      <c r="L171" s="88"/>
      <c r="CW171" s="62" t="s">
        <v>453</v>
      </c>
    </row>
    <row r="172" spans="1:101" ht="76.5" customHeight="1">
      <c r="B172" s="60" t="s">
        <v>375</v>
      </c>
      <c r="C172" s="88" t="s">
        <v>446</v>
      </c>
      <c r="D172" s="88"/>
      <c r="E172" s="88"/>
      <c r="F172" s="88"/>
      <c r="G172" s="88"/>
      <c r="H172" s="88"/>
      <c r="I172" s="88"/>
      <c r="J172" s="88"/>
      <c r="K172" s="88"/>
      <c r="L172" s="88"/>
      <c r="CW172" s="62" t="s">
        <v>446</v>
      </c>
    </row>
    <row r="173" spans="1:101" ht="76.5">
      <c r="C173" s="89" t="s">
        <v>454</v>
      </c>
      <c r="D173" s="89"/>
      <c r="E173" s="89"/>
      <c r="F173" s="89"/>
      <c r="CW173" s="63" t="s">
        <v>454</v>
      </c>
    </row>
    <row r="174" spans="1:101">
      <c r="C174" s="49" t="str">
        <f>"Объем: "&amp;Source!I36&amp;"=5/"&amp;"100"</f>
        <v>Объем: 0,05=5/100</v>
      </c>
    </row>
    <row r="175" spans="1:101" ht="15">
      <c r="A175" s="43"/>
      <c r="B175" s="46">
        <v>1</v>
      </c>
      <c r="C175" s="43" t="s">
        <v>425</v>
      </c>
      <c r="D175" s="45" t="s">
        <v>271</v>
      </c>
      <c r="E175" s="50"/>
      <c r="F175" s="46"/>
      <c r="G175" s="46">
        <f>Source!U36</f>
        <v>8.5036749999999994</v>
      </c>
      <c r="H175" s="46"/>
      <c r="I175" s="46"/>
      <c r="J175" s="46"/>
      <c r="K175" s="46"/>
      <c r="L175" s="51">
        <f>SUM(L176:L176)-SUMIF(CE176:CE176, 1, L176:L176)</f>
        <v>2849.58</v>
      </c>
    </row>
    <row r="176" spans="1:101" ht="14.25">
      <c r="A176" s="44"/>
      <c r="B176" s="44" t="s">
        <v>269</v>
      </c>
      <c r="C176" s="44" t="s">
        <v>270</v>
      </c>
      <c r="D176" s="45" t="s">
        <v>271</v>
      </c>
      <c r="E176" s="46">
        <v>128.6</v>
      </c>
      <c r="F176" s="46">
        <f>ROUND((0.15+1)*1.15,7)</f>
        <v>1.3225</v>
      </c>
      <c r="G176" s="46">
        <f>SmtRes!CX34</f>
        <v>8.5036749999999994</v>
      </c>
      <c r="H176" s="48"/>
      <c r="I176" s="47"/>
      <c r="J176" s="48">
        <f>SmtRes!CZ34</f>
        <v>335.1</v>
      </c>
      <c r="K176" s="47"/>
      <c r="L176" s="48">
        <f>SmtRes!DI34</f>
        <v>2849.58</v>
      </c>
    </row>
    <row r="177" spans="1:101" ht="15">
      <c r="A177" s="43"/>
      <c r="B177" s="46">
        <v>2</v>
      </c>
      <c r="C177" s="43" t="s">
        <v>434</v>
      </c>
      <c r="D177" s="45"/>
      <c r="E177" s="50"/>
      <c r="F177" s="46"/>
      <c r="G177" s="46"/>
      <c r="H177" s="46"/>
      <c r="I177" s="46"/>
      <c r="J177" s="46"/>
      <c r="K177" s="46"/>
      <c r="L177" s="51">
        <f>SUM(L178:L180)-SUMIF(CE178:CE180, 1, L178:L180)</f>
        <v>191.45999999999998</v>
      </c>
    </row>
    <row r="178" spans="1:101" ht="15">
      <c r="A178" s="43"/>
      <c r="B178" s="46"/>
      <c r="C178" s="43" t="s">
        <v>436</v>
      </c>
      <c r="D178" s="45" t="s">
        <v>271</v>
      </c>
      <c r="E178" s="50"/>
      <c r="F178" s="46"/>
      <c r="G178" s="46">
        <f>Source!V36</f>
        <v>0.330625</v>
      </c>
      <c r="H178" s="46"/>
      <c r="I178" s="46"/>
      <c r="J178" s="46"/>
      <c r="K178" s="46"/>
      <c r="L178" s="51">
        <f>SUMIF(CE179:CE180, 1, L179:L180)</f>
        <v>130.22999999999999</v>
      </c>
      <c r="CE178">
        <v>1</v>
      </c>
    </row>
    <row r="179" spans="1:101" ht="28.5">
      <c r="A179" s="44"/>
      <c r="B179" s="44" t="s">
        <v>315</v>
      </c>
      <c r="C179" s="44" t="s">
        <v>317</v>
      </c>
      <c r="D179" s="45" t="s">
        <v>279</v>
      </c>
      <c r="E179" s="46">
        <v>4.5999999999999996</v>
      </c>
      <c r="F179" s="46">
        <f>ROUND((0.15+1)*1.25,7)</f>
        <v>1.4375</v>
      </c>
      <c r="G179" s="46">
        <f>SmtRes!CX36</f>
        <v>0.330625</v>
      </c>
      <c r="H179" s="48"/>
      <c r="I179" s="47"/>
      <c r="J179" s="48">
        <f>SmtRes!CZ36</f>
        <v>579.09</v>
      </c>
      <c r="K179" s="47"/>
      <c r="L179" s="48">
        <f>SmtRes!DG36</f>
        <v>191.46</v>
      </c>
    </row>
    <row r="180" spans="1:101" ht="28.5">
      <c r="A180" s="44"/>
      <c r="B180" s="44" t="s">
        <v>295</v>
      </c>
      <c r="C180" s="52" t="s">
        <v>441</v>
      </c>
      <c r="D180" s="53" t="s">
        <v>271</v>
      </c>
      <c r="E180" s="54">
        <f>SmtRes!DO36*SmtRes!AT36</f>
        <v>4.5999999999999996</v>
      </c>
      <c r="F180" s="54">
        <f>ROUND((0.15+1)*1.25,7)</f>
        <v>1.4375</v>
      </c>
      <c r="G180" s="54">
        <f>ROUND(E180*F180*G170, 7)</f>
        <v>0.330625</v>
      </c>
      <c r="H180" s="55"/>
      <c r="I180" s="56"/>
      <c r="J180" s="55">
        <f>ROUND(SmtRes!AG36/SmtRes!DO36, 2)</f>
        <v>393.89</v>
      </c>
      <c r="K180" s="56"/>
      <c r="L180" s="55">
        <f>SmtRes!DH36</f>
        <v>130.22999999999999</v>
      </c>
      <c r="CE180">
        <v>1</v>
      </c>
    </row>
    <row r="181" spans="1:101" ht="15">
      <c r="A181" s="44"/>
      <c r="B181" s="44"/>
      <c r="C181" s="58" t="s">
        <v>426</v>
      </c>
      <c r="D181" s="45"/>
      <c r="E181" s="46"/>
      <c r="F181" s="46"/>
      <c r="G181" s="46"/>
      <c r="H181" s="48"/>
      <c r="I181" s="47"/>
      <c r="J181" s="48"/>
      <c r="K181" s="47"/>
      <c r="L181" s="48">
        <f>L175+L177+L178</f>
        <v>3171.27</v>
      </c>
    </row>
    <row r="182" spans="1:101" ht="114">
      <c r="A182" s="42" t="s">
        <v>469</v>
      </c>
      <c r="B182" s="44" t="str">
        <f>Source!F37</f>
        <v>12.2.05.09-0021</v>
      </c>
      <c r="C182" s="44" t="str">
        <f>Source!G37</f>
        <v>Плиты теплоизоляционные из экструзионного пенополистирола, показатели пожарной опасности Г4, В2, Д3, Т2, плотность 16-30 кг/м3, теплопроводность при +10 °C не более 0,034 Вт/(м*К), прочность на сжатие при 10% деформации не менее 0,15 МПа, толщина 40-90 мм</v>
      </c>
      <c r="D182" s="45" t="str">
        <f>Source!H37</f>
        <v>м3</v>
      </c>
      <c r="E182" s="46">
        <f>SmtRes!AT37</f>
        <v>100</v>
      </c>
      <c r="F182" s="46"/>
      <c r="G182" s="46">
        <f>Source!I37</f>
        <v>5</v>
      </c>
      <c r="H182" s="48">
        <f>Source!AL37+Source!AO37+Source!AM37+Source!AN37</f>
        <v>5240.1099999999997</v>
      </c>
      <c r="I182" s="47">
        <f>IF(Source!BC37&lt;&gt; 0, Source!BC37, 1)</f>
        <v>1.43</v>
      </c>
      <c r="J182" s="48">
        <f>ROUND(H182*I182, 2)</f>
        <v>7493.36</v>
      </c>
      <c r="K182" s="47"/>
      <c r="L182" s="48">
        <f>Source!P37</f>
        <v>37466.800000000003</v>
      </c>
      <c r="AD182">
        <f>ROUND((Source!AT37/100)*((ROUND(ROUND(Source!AO37,2)*Source!I37, 2)+ROUND(ROUND(Source!AN37,2)*Source!I37, 2))), 2)</f>
        <v>0</v>
      </c>
      <c r="AE182">
        <f>ROUND((Source!AU37/100)*((ROUND(ROUND(Source!AO37,2)*Source!I37, 2)+ROUND(ROUND(Source!AN37,2)*Source!I37, 2))), 2)</f>
        <v>0</v>
      </c>
      <c r="AN182">
        <f>L182</f>
        <v>37466.800000000003</v>
      </c>
      <c r="AW182">
        <f>L182</f>
        <v>37466.800000000003</v>
      </c>
      <c r="AZ182">
        <f>Source!X37</f>
        <v>0</v>
      </c>
      <c r="BA182">
        <f>Source!Y37</f>
        <v>0</v>
      </c>
      <c r="CD182">
        <v>1</v>
      </c>
    </row>
    <row r="183" spans="1:101" ht="14.25">
      <c r="A183" s="44"/>
      <c r="B183" s="44"/>
      <c r="C183" s="44" t="s">
        <v>427</v>
      </c>
      <c r="D183" s="45"/>
      <c r="E183" s="46"/>
      <c r="F183" s="46"/>
      <c r="G183" s="46"/>
      <c r="H183" s="48"/>
      <c r="I183" s="47"/>
      <c r="J183" s="48"/>
      <c r="K183" s="47"/>
      <c r="L183" s="48">
        <f>SUM(AR170:AR186)+SUM(AS170:AS186)+SUM(AT170:AT186)+SUM(AU170:AU186)+SUM(AV170:AV186)</f>
        <v>2979.81</v>
      </c>
    </row>
    <row r="184" spans="1:101" ht="28.5">
      <c r="A184" s="44"/>
      <c r="B184" s="44" t="s">
        <v>464</v>
      </c>
      <c r="C184" s="44" t="s">
        <v>465</v>
      </c>
      <c r="D184" s="45" t="s">
        <v>429</v>
      </c>
      <c r="E184" s="46">
        <f>Source!BZ36</f>
        <v>147</v>
      </c>
      <c r="F184" s="46">
        <f>ROUND(0.9,7)</f>
        <v>0.9</v>
      </c>
      <c r="G184" s="46">
        <f>Source!AT36</f>
        <v>132.30000000000001</v>
      </c>
      <c r="H184" s="48"/>
      <c r="I184" s="47"/>
      <c r="J184" s="48"/>
      <c r="K184" s="47"/>
      <c r="L184" s="48">
        <f>SUM(AZ170:AZ186)</f>
        <v>3942.29</v>
      </c>
    </row>
    <row r="185" spans="1:101" ht="28.5">
      <c r="A185" s="52"/>
      <c r="B185" s="52" t="s">
        <v>466</v>
      </c>
      <c r="C185" s="52" t="s">
        <v>467</v>
      </c>
      <c r="D185" s="53" t="s">
        <v>429</v>
      </c>
      <c r="E185" s="54">
        <f>Source!CA36</f>
        <v>134</v>
      </c>
      <c r="F185" s="54">
        <f>ROUND(0.85,7)</f>
        <v>0.85</v>
      </c>
      <c r="G185" s="54">
        <f>Source!AU36</f>
        <v>113.9</v>
      </c>
      <c r="H185" s="55"/>
      <c r="I185" s="56"/>
      <c r="J185" s="55"/>
      <c r="K185" s="56"/>
      <c r="L185" s="55">
        <f>SUM(BA170:BA186)</f>
        <v>3394</v>
      </c>
    </row>
    <row r="186" spans="1:101" ht="15">
      <c r="C186" s="90" t="s">
        <v>431</v>
      </c>
      <c r="D186" s="90"/>
      <c r="E186" s="90"/>
      <c r="F186" s="90"/>
      <c r="G186" s="90"/>
      <c r="H186" s="90"/>
      <c r="I186" s="91">
        <f>IF(E170&lt;&gt;0,K186/E170, 0)</f>
        <v>959487.2</v>
      </c>
      <c r="J186" s="91"/>
      <c r="K186" s="91">
        <f>L175+L177+L184+L185+L178+SUM(L182:L182)</f>
        <v>47974.36</v>
      </c>
      <c r="L186" s="91"/>
      <c r="AD186">
        <f>ROUND((Source!AT36/100)*((ROUND(SUMIF(SmtRes!AQ34:'SmtRes'!AQ37,"=1",SmtRes!AD34:'SmtRes'!AD37)*Source!I36, 2)+ROUND(SUMIF(SmtRes!AQ34:'SmtRes'!AQ37,"=1",SmtRes!AC34:'SmtRes'!AC37)*Source!I36, 2))), 2)</f>
        <v>48.22</v>
      </c>
      <c r="AE186">
        <f>ROUND((Source!AU36/100)*((ROUND(SUMIF(SmtRes!AQ34:'SmtRes'!AQ37,"=1",SmtRes!AD34:'SmtRes'!AD37)*Source!I36, 2)+ROUND(SUMIF(SmtRes!AQ34:'SmtRes'!AQ37,"=1",SmtRes!AC34:'SmtRes'!AC37)*Source!I36, 2))), 2)</f>
        <v>41.52</v>
      </c>
      <c r="AN186" s="57">
        <f>L175+L177+L184+L185+L178</f>
        <v>10507.56</v>
      </c>
      <c r="AO186" s="57">
        <f>L177</f>
        <v>191.45999999999998</v>
      </c>
      <c r="AQ186" t="s">
        <v>432</v>
      </c>
      <c r="AR186" s="57">
        <f>L175</f>
        <v>2849.58</v>
      </c>
      <c r="AT186" s="57">
        <f>L178</f>
        <v>130.22999999999999</v>
      </c>
      <c r="AV186" t="s">
        <v>432</v>
      </c>
      <c r="AW186">
        <f>0</f>
        <v>0</v>
      </c>
      <c r="AZ186">
        <f>Source!X36</f>
        <v>3942.29</v>
      </c>
      <c r="BA186">
        <f>Source!Y36</f>
        <v>3394</v>
      </c>
      <c r="CD186">
        <v>1</v>
      </c>
    </row>
    <row r="187" spans="1:101" ht="28.5">
      <c r="A187" s="42" t="s">
        <v>117</v>
      </c>
      <c r="B187" s="44" t="s">
        <v>470</v>
      </c>
      <c r="C187" s="44" t="str">
        <f>Source!G38</f>
        <v>Армирование подстилающих слоев и набетонок</v>
      </c>
      <c r="D187" s="45" t="str">
        <f>Source!H38</f>
        <v>т</v>
      </c>
      <c r="E187" s="46">
        <f>Source!K38</f>
        <v>0.1022</v>
      </c>
      <c r="F187" s="46"/>
      <c r="G187" s="46">
        <f>Source!I38</f>
        <v>0.1022</v>
      </c>
      <c r="H187" s="48"/>
      <c r="I187" s="47"/>
      <c r="J187" s="48"/>
      <c r="K187" s="47"/>
      <c r="L187" s="48"/>
    </row>
    <row r="188" spans="1:101" ht="76.5" customHeight="1">
      <c r="B188" s="60" t="s">
        <v>377</v>
      </c>
      <c r="C188" s="88" t="s">
        <v>453</v>
      </c>
      <c r="D188" s="88"/>
      <c r="E188" s="88"/>
      <c r="F188" s="88"/>
      <c r="G188" s="88"/>
      <c r="H188" s="88"/>
      <c r="I188" s="88"/>
      <c r="J188" s="88"/>
      <c r="K188" s="88"/>
      <c r="L188" s="88"/>
      <c r="CW188" s="62" t="s">
        <v>453</v>
      </c>
    </row>
    <row r="189" spans="1:101" ht="76.5" customHeight="1">
      <c r="B189" s="60" t="s">
        <v>375</v>
      </c>
      <c r="C189" s="88" t="s">
        <v>446</v>
      </c>
      <c r="D189" s="88"/>
      <c r="E189" s="88"/>
      <c r="F189" s="88"/>
      <c r="G189" s="88"/>
      <c r="H189" s="88"/>
      <c r="I189" s="88"/>
      <c r="J189" s="88"/>
      <c r="K189" s="88"/>
      <c r="L189" s="88"/>
      <c r="CW189" s="62" t="s">
        <v>446</v>
      </c>
    </row>
    <row r="190" spans="1:101" ht="76.5">
      <c r="C190" s="89" t="s">
        <v>454</v>
      </c>
      <c r="D190" s="89"/>
      <c r="E190" s="89"/>
      <c r="F190" s="89"/>
      <c r="CW190" s="63" t="s">
        <v>454</v>
      </c>
    </row>
    <row r="191" spans="1:101" ht="15">
      <c r="A191" s="43"/>
      <c r="B191" s="46">
        <v>1</v>
      </c>
      <c r="C191" s="43" t="s">
        <v>425</v>
      </c>
      <c r="D191" s="45" t="s">
        <v>271</v>
      </c>
      <c r="E191" s="50"/>
      <c r="F191" s="46"/>
      <c r="G191" s="46">
        <f>Source!U38</f>
        <v>1.5678502000000001</v>
      </c>
      <c r="H191" s="46"/>
      <c r="I191" s="46"/>
      <c r="J191" s="46"/>
      <c r="K191" s="46"/>
      <c r="L191" s="51">
        <f>SUM(L192:L192)-SUMIF(CE192:CE192, 1, L192:L192)</f>
        <v>569.17999999999995</v>
      </c>
    </row>
    <row r="192" spans="1:101" ht="14.25">
      <c r="A192" s="44"/>
      <c r="B192" s="44" t="s">
        <v>339</v>
      </c>
      <c r="C192" s="44" t="s">
        <v>340</v>
      </c>
      <c r="D192" s="45" t="s">
        <v>271</v>
      </c>
      <c r="E192" s="46">
        <v>11.6</v>
      </c>
      <c r="F192" s="46">
        <f>ROUND((0.15+1)*1.15,7)</f>
        <v>1.3225</v>
      </c>
      <c r="G192" s="46">
        <f>SmtRes!CX38</f>
        <v>1.5678502000000001</v>
      </c>
      <c r="H192" s="48"/>
      <c r="I192" s="47"/>
      <c r="J192" s="48">
        <f>SmtRes!CZ38</f>
        <v>363.03</v>
      </c>
      <c r="K192" s="47"/>
      <c r="L192" s="48">
        <f>SmtRes!DI38</f>
        <v>569.17999999999995</v>
      </c>
    </row>
    <row r="193" spans="1:101" ht="15">
      <c r="A193" s="43"/>
      <c r="B193" s="46">
        <v>2</v>
      </c>
      <c r="C193" s="43" t="s">
        <v>434</v>
      </c>
      <c r="D193" s="45"/>
      <c r="E193" s="50"/>
      <c r="F193" s="46"/>
      <c r="G193" s="46"/>
      <c r="H193" s="46"/>
      <c r="I193" s="46"/>
      <c r="J193" s="46"/>
      <c r="K193" s="46"/>
      <c r="L193" s="51">
        <f>SUM(L194:L198)-SUMIF(CE194:CE198, 1, L194:L198)</f>
        <v>54.1</v>
      </c>
    </row>
    <row r="194" spans="1:101" ht="15">
      <c r="A194" s="43"/>
      <c r="B194" s="46"/>
      <c r="C194" s="43" t="s">
        <v>436</v>
      </c>
      <c r="D194" s="45" t="s">
        <v>271</v>
      </c>
      <c r="E194" s="50"/>
      <c r="F194" s="46"/>
      <c r="G194" s="46">
        <f>Source!V38</f>
        <v>5.1419400000000004E-2</v>
      </c>
      <c r="H194" s="46"/>
      <c r="I194" s="46"/>
      <c r="J194" s="46"/>
      <c r="K194" s="46"/>
      <c r="L194" s="51">
        <f>SUMIF(CE195:CE198, 1, L195:L198)</f>
        <v>23.23</v>
      </c>
      <c r="CE194">
        <v>1</v>
      </c>
    </row>
    <row r="195" spans="1:101" ht="28.5">
      <c r="A195" s="44"/>
      <c r="B195" s="44" t="s">
        <v>341</v>
      </c>
      <c r="C195" s="44" t="s">
        <v>343</v>
      </c>
      <c r="D195" s="45" t="s">
        <v>279</v>
      </c>
      <c r="E195" s="46">
        <v>0.15</v>
      </c>
      <c r="F195" s="46">
        <f>ROUND((0.15+1)*1.25,7)</f>
        <v>1.4375</v>
      </c>
      <c r="G195" s="46">
        <f>SmtRes!CX40</f>
        <v>2.2036900000000002E-2</v>
      </c>
      <c r="H195" s="48"/>
      <c r="I195" s="47"/>
      <c r="J195" s="48">
        <f>SmtRes!CZ40</f>
        <v>1682.51</v>
      </c>
      <c r="K195" s="47"/>
      <c r="L195" s="48">
        <f>SmtRes!DG40</f>
        <v>37.08</v>
      </c>
    </row>
    <row r="196" spans="1:101" ht="28.5">
      <c r="A196" s="44"/>
      <c r="B196" s="44" t="s">
        <v>280</v>
      </c>
      <c r="C196" s="44" t="s">
        <v>435</v>
      </c>
      <c r="D196" s="45" t="s">
        <v>271</v>
      </c>
      <c r="E196" s="46">
        <f>SmtRes!DO40*SmtRes!AT40</f>
        <v>0.15</v>
      </c>
      <c r="F196" s="46">
        <f>ROUND((0.15+1)*1.25,7)</f>
        <v>1.4375</v>
      </c>
      <c r="G196" s="46">
        <f>ROUND(E196*F196*G187, 7)</f>
        <v>2.2036900000000002E-2</v>
      </c>
      <c r="H196" s="48"/>
      <c r="I196" s="47"/>
      <c r="J196" s="48">
        <f>ROUND(SmtRes!AG40/SmtRes!DO40, 2)</f>
        <v>529.11</v>
      </c>
      <c r="K196" s="47"/>
      <c r="L196" s="48">
        <f>SmtRes!DH40</f>
        <v>11.66</v>
      </c>
      <c r="CE196">
        <v>1</v>
      </c>
    </row>
    <row r="197" spans="1:101" ht="28.5">
      <c r="A197" s="44"/>
      <c r="B197" s="44" t="s">
        <v>315</v>
      </c>
      <c r="C197" s="44" t="s">
        <v>317</v>
      </c>
      <c r="D197" s="45" t="s">
        <v>279</v>
      </c>
      <c r="E197" s="46">
        <v>0.2</v>
      </c>
      <c r="F197" s="46">
        <f>ROUND((0.15+1)*1.25,7)</f>
        <v>1.4375</v>
      </c>
      <c r="G197" s="46">
        <f>SmtRes!CX41</f>
        <v>2.9382499999999999E-2</v>
      </c>
      <c r="H197" s="48"/>
      <c r="I197" s="47"/>
      <c r="J197" s="48">
        <f>SmtRes!CZ41</f>
        <v>579.09</v>
      </c>
      <c r="K197" s="47"/>
      <c r="L197" s="48">
        <f>SmtRes!DG41</f>
        <v>17.02</v>
      </c>
    </row>
    <row r="198" spans="1:101" ht="28.5">
      <c r="A198" s="44"/>
      <c r="B198" s="44" t="s">
        <v>295</v>
      </c>
      <c r="C198" s="44" t="s">
        <v>441</v>
      </c>
      <c r="D198" s="45" t="s">
        <v>271</v>
      </c>
      <c r="E198" s="46">
        <f>SmtRes!DO41*SmtRes!AT41</f>
        <v>0.2</v>
      </c>
      <c r="F198" s="46">
        <f>ROUND((0.15+1)*1.25,7)</f>
        <v>1.4375</v>
      </c>
      <c r="G198" s="46">
        <f>ROUND(E198*F198*G187, 7)</f>
        <v>2.9382499999999999E-2</v>
      </c>
      <c r="H198" s="48"/>
      <c r="I198" s="47"/>
      <c r="J198" s="48">
        <f>ROUND(SmtRes!AG41/SmtRes!DO41, 2)</f>
        <v>393.89</v>
      </c>
      <c r="K198" s="47"/>
      <c r="L198" s="48">
        <f>SmtRes!DH41</f>
        <v>11.57</v>
      </c>
      <c r="CE198">
        <v>1</v>
      </c>
    </row>
    <row r="199" spans="1:101" ht="15">
      <c r="A199" s="43"/>
      <c r="B199" s="46">
        <v>4</v>
      </c>
      <c r="C199" s="43" t="s">
        <v>437</v>
      </c>
      <c r="D199" s="45"/>
      <c r="E199" s="50"/>
      <c r="F199" s="46"/>
      <c r="G199" s="46"/>
      <c r="H199" s="46"/>
      <c r="I199" s="46"/>
      <c r="J199" s="46"/>
      <c r="K199" s="46"/>
      <c r="L199" s="51">
        <f>SUM(L200:L200)-SUMIF(CE200:CE200, 1, L200:L200)</f>
        <v>226.12</v>
      </c>
    </row>
    <row r="200" spans="1:101" ht="14.25">
      <c r="A200" s="44"/>
      <c r="B200" s="44" t="s">
        <v>344</v>
      </c>
      <c r="C200" s="52" t="s">
        <v>346</v>
      </c>
      <c r="D200" s="53" t="s">
        <v>90</v>
      </c>
      <c r="E200" s="54">
        <v>2.8000000000000001E-2</v>
      </c>
      <c r="F200" s="54"/>
      <c r="G200" s="54">
        <f>SmtRes!CX43</f>
        <v>2.8616000000000002E-3</v>
      </c>
      <c r="H200" s="55">
        <f>SmtRes!CZ43</f>
        <v>88783.86</v>
      </c>
      <c r="I200" s="56">
        <f>SmtRes!AI43</f>
        <v>0.89</v>
      </c>
      <c r="J200" s="55">
        <f>ROUND(H200*I200, 2)</f>
        <v>79017.64</v>
      </c>
      <c r="K200" s="56"/>
      <c r="L200" s="55">
        <f>SmtRes!DF43</f>
        <v>226.12</v>
      </c>
    </row>
    <row r="201" spans="1:101" ht="15">
      <c r="A201" s="44"/>
      <c r="B201" s="44"/>
      <c r="C201" s="58" t="s">
        <v>426</v>
      </c>
      <c r="D201" s="45"/>
      <c r="E201" s="46"/>
      <c r="F201" s="46"/>
      <c r="G201" s="46"/>
      <c r="H201" s="48"/>
      <c r="I201" s="47"/>
      <c r="J201" s="48"/>
      <c r="K201" s="47"/>
      <c r="L201" s="48">
        <f>L191+L193+L194+L199</f>
        <v>872.63</v>
      </c>
    </row>
    <row r="202" spans="1:101" ht="57">
      <c r="A202" s="42" t="s">
        <v>471</v>
      </c>
      <c r="B202" s="44" t="str">
        <f>Source!F39</f>
        <v>08.1.02.17-0091</v>
      </c>
      <c r="C202" s="44" t="str">
        <f>Source!G39</f>
        <v>Сетка стальная сварная из арматурной проволоки без покрытия, диаметр проволоки 4 мм размер ячейки 100х100 мм</v>
      </c>
      <c r="D202" s="45" t="str">
        <f>Source!H39</f>
        <v>м2</v>
      </c>
      <c r="E202" s="46">
        <f>SmtRes!AT42</f>
        <v>489.23679060000001</v>
      </c>
      <c r="F202" s="46"/>
      <c r="G202" s="46">
        <f>Source!I39</f>
        <v>50</v>
      </c>
      <c r="H202" s="48">
        <f>Source!AL39+Source!AO39+Source!AM39+Source!AN39</f>
        <v>93.45</v>
      </c>
      <c r="I202" s="47">
        <f>IF(Source!BC39&lt;&gt; 0, Source!BC39, 1)</f>
        <v>1.05</v>
      </c>
      <c r="J202" s="48">
        <f>ROUND(H202*I202, 2)</f>
        <v>98.12</v>
      </c>
      <c r="K202" s="47"/>
      <c r="L202" s="48">
        <f>Source!P39</f>
        <v>4906</v>
      </c>
      <c r="AD202">
        <f>ROUND((Source!AT39/100)*((ROUND(ROUND(Source!AO39,2)*Source!I39, 2)+ROUND(ROUND(Source!AN39,2)*Source!I39, 2))), 2)</f>
        <v>0</v>
      </c>
      <c r="AE202">
        <f>ROUND((Source!AU39/100)*((ROUND(ROUND(Source!AO39,2)*Source!I39, 2)+ROUND(ROUND(Source!AN39,2)*Source!I39, 2))), 2)</f>
        <v>0</v>
      </c>
      <c r="AN202">
        <f>L202</f>
        <v>4906</v>
      </c>
      <c r="AW202">
        <f>L202</f>
        <v>4906</v>
      </c>
      <c r="AZ202">
        <f>Source!X39</f>
        <v>0</v>
      </c>
      <c r="BA202">
        <f>Source!Y39</f>
        <v>0</v>
      </c>
      <c r="CD202">
        <v>1</v>
      </c>
    </row>
    <row r="203" spans="1:101" ht="14.25">
      <c r="A203" s="44"/>
      <c r="B203" s="44"/>
      <c r="C203" s="44" t="s">
        <v>427</v>
      </c>
      <c r="D203" s="45"/>
      <c r="E203" s="46"/>
      <c r="F203" s="46"/>
      <c r="G203" s="46"/>
      <c r="H203" s="48"/>
      <c r="I203" s="47"/>
      <c r="J203" s="48"/>
      <c r="K203" s="47"/>
      <c r="L203" s="48">
        <f>SUM(AR187:AR206)+SUM(AS187:AS206)+SUM(AT187:AT206)+SUM(AU187:AU206)+SUM(AV187:AV206)</f>
        <v>592.41</v>
      </c>
    </row>
    <row r="204" spans="1:101" ht="42.75">
      <c r="A204" s="44"/>
      <c r="B204" s="44" t="s">
        <v>472</v>
      </c>
      <c r="C204" s="44" t="s">
        <v>473</v>
      </c>
      <c r="D204" s="45" t="s">
        <v>429</v>
      </c>
      <c r="E204" s="46">
        <f>Source!BZ38</f>
        <v>102</v>
      </c>
      <c r="F204" s="46">
        <f>ROUND(0.9,7)</f>
        <v>0.9</v>
      </c>
      <c r="G204" s="46">
        <f>Source!AT38</f>
        <v>91.8</v>
      </c>
      <c r="H204" s="48"/>
      <c r="I204" s="47"/>
      <c r="J204" s="48"/>
      <c r="K204" s="47"/>
      <c r="L204" s="48">
        <f>SUM(AZ187:AZ206)</f>
        <v>543.83000000000004</v>
      </c>
    </row>
    <row r="205" spans="1:101" ht="42.75">
      <c r="A205" s="52"/>
      <c r="B205" s="52" t="s">
        <v>474</v>
      </c>
      <c r="C205" s="52" t="s">
        <v>475</v>
      </c>
      <c r="D205" s="53" t="s">
        <v>429</v>
      </c>
      <c r="E205" s="54">
        <f>Source!CA38</f>
        <v>58</v>
      </c>
      <c r="F205" s="54">
        <f>ROUND(0.85,7)</f>
        <v>0.85</v>
      </c>
      <c r="G205" s="54">
        <f>Source!AU38</f>
        <v>49.3</v>
      </c>
      <c r="H205" s="55"/>
      <c r="I205" s="56"/>
      <c r="J205" s="55"/>
      <c r="K205" s="56"/>
      <c r="L205" s="55">
        <f>SUM(BA187:BA206)</f>
        <v>292.06</v>
      </c>
    </row>
    <row r="206" spans="1:101" ht="15">
      <c r="C206" s="90" t="s">
        <v>431</v>
      </c>
      <c r="D206" s="90"/>
      <c r="E206" s="90"/>
      <c r="F206" s="90"/>
      <c r="G206" s="90"/>
      <c r="H206" s="90"/>
      <c r="I206" s="91">
        <f>IF(E187&lt;&gt;0,K206/E187, 0)</f>
        <v>64721.330724070453</v>
      </c>
      <c r="J206" s="91"/>
      <c r="K206" s="91">
        <f>L191+L193+L199+L204+L205+L194+SUM(L202:L202)</f>
        <v>6614.52</v>
      </c>
      <c r="L206" s="91"/>
      <c r="AD206">
        <f>ROUND((Source!AT38/100)*((ROUND(SUMIF(SmtRes!AQ38:'SmtRes'!AQ43,"=1",SmtRes!AD38:'SmtRes'!AD43)*Source!I38, 2)+ROUND(SUMIF(SmtRes!AQ38:'SmtRes'!AQ43,"=1",SmtRes!AC38:'SmtRes'!AC43)*Source!I38, 2))), 2)</f>
        <v>120.65</v>
      </c>
      <c r="AE206">
        <f>ROUND((Source!AU38/100)*((ROUND(SUMIF(SmtRes!AQ38:'SmtRes'!AQ43,"=1",SmtRes!AD38:'SmtRes'!AD43)*Source!I38, 2)+ROUND(SUMIF(SmtRes!AQ38:'SmtRes'!AQ43,"=1",SmtRes!AC38:'SmtRes'!AC43)*Source!I38, 2))), 2)</f>
        <v>64.790000000000006</v>
      </c>
      <c r="AN206" s="57">
        <f>L191+L193+L199+L204+L205+L194</f>
        <v>1708.52</v>
      </c>
      <c r="AO206" s="57">
        <f>L193</f>
        <v>54.1</v>
      </c>
      <c r="AQ206" t="s">
        <v>432</v>
      </c>
      <c r="AR206" s="57">
        <f>L191</f>
        <v>569.17999999999995</v>
      </c>
      <c r="AT206" s="57">
        <f>L194</f>
        <v>23.23</v>
      </c>
      <c r="AV206" t="s">
        <v>432</v>
      </c>
      <c r="AW206" s="57">
        <f>L199</f>
        <v>226.12</v>
      </c>
      <c r="AZ206">
        <f>Source!X38</f>
        <v>543.83000000000004</v>
      </c>
      <c r="BA206">
        <f>Source!Y38</f>
        <v>292.06</v>
      </c>
      <c r="CD206">
        <v>1</v>
      </c>
    </row>
    <row r="207" spans="1:101" ht="14.25">
      <c r="A207" s="42" t="s">
        <v>130</v>
      </c>
      <c r="B207" s="44" t="s">
        <v>476</v>
      </c>
      <c r="C207" s="44" t="str">
        <f>Source!G40</f>
        <v>Устройство бетонной подготовки</v>
      </c>
      <c r="D207" s="45" t="str">
        <f>Source!H40</f>
        <v>100 м3</v>
      </c>
      <c r="E207" s="46">
        <f>Source!K40</f>
        <v>6.0479999999999999E-2</v>
      </c>
      <c r="F207" s="46"/>
      <c r="G207" s="46">
        <f>Source!I40</f>
        <v>6.0479999999999999E-2</v>
      </c>
      <c r="H207" s="48"/>
      <c r="I207" s="47"/>
      <c r="J207" s="48"/>
      <c r="K207" s="47"/>
      <c r="L207" s="48"/>
    </row>
    <row r="208" spans="1:101" ht="76.5" customHeight="1">
      <c r="B208" s="60" t="s">
        <v>377</v>
      </c>
      <c r="C208" s="88" t="s">
        <v>453</v>
      </c>
      <c r="D208" s="88"/>
      <c r="E208" s="88"/>
      <c r="F208" s="88"/>
      <c r="G208" s="88"/>
      <c r="H208" s="88"/>
      <c r="I208" s="88"/>
      <c r="J208" s="88"/>
      <c r="K208" s="88"/>
      <c r="L208" s="88"/>
      <c r="CW208" s="62" t="s">
        <v>453</v>
      </c>
    </row>
    <row r="209" spans="1:101" ht="76.5" customHeight="1">
      <c r="B209" s="60" t="s">
        <v>375</v>
      </c>
      <c r="C209" s="88" t="s">
        <v>446</v>
      </c>
      <c r="D209" s="88"/>
      <c r="E209" s="88"/>
      <c r="F209" s="88"/>
      <c r="G209" s="88"/>
      <c r="H209" s="88"/>
      <c r="I209" s="88"/>
      <c r="J209" s="88"/>
      <c r="K209" s="88"/>
      <c r="L209" s="88"/>
      <c r="CW209" s="62" t="s">
        <v>446</v>
      </c>
    </row>
    <row r="210" spans="1:101" ht="76.5">
      <c r="C210" s="89" t="s">
        <v>454</v>
      </c>
      <c r="D210" s="89"/>
      <c r="E210" s="89"/>
      <c r="F210" s="89"/>
      <c r="CW210" s="63" t="s">
        <v>454</v>
      </c>
    </row>
    <row r="211" spans="1:101">
      <c r="C211" s="49" t="str">
        <f>"Объем: "&amp;Source!I40&amp;"=6,048/"&amp;"100"</f>
        <v>Объем: 0,06048=6,048/100</v>
      </c>
    </row>
    <row r="212" spans="1:101" ht="15">
      <c r="A212" s="43"/>
      <c r="B212" s="46">
        <v>1</v>
      </c>
      <c r="C212" s="43" t="s">
        <v>425</v>
      </c>
      <c r="D212" s="45" t="s">
        <v>271</v>
      </c>
      <c r="E212" s="50"/>
      <c r="F212" s="46"/>
      <c r="G212" s="46">
        <f>Source!U40</f>
        <v>10.797948</v>
      </c>
      <c r="H212" s="46"/>
      <c r="I212" s="46"/>
      <c r="J212" s="46"/>
      <c r="K212" s="46"/>
      <c r="L212" s="51">
        <f>SUM(L213:L213)-SUMIF(CE213:CE213, 1, L213:L213)</f>
        <v>3459.77</v>
      </c>
    </row>
    <row r="213" spans="1:101" ht="14.25">
      <c r="A213" s="44"/>
      <c r="B213" s="44" t="s">
        <v>272</v>
      </c>
      <c r="C213" s="44" t="s">
        <v>273</v>
      </c>
      <c r="D213" s="45" t="s">
        <v>271</v>
      </c>
      <c r="E213" s="46">
        <v>135</v>
      </c>
      <c r="F213" s="46">
        <f>ROUND((0.15+1)*1.15,7)</f>
        <v>1.3225</v>
      </c>
      <c r="G213" s="46">
        <f>SmtRes!CX44</f>
        <v>10.797948</v>
      </c>
      <c r="H213" s="48"/>
      <c r="I213" s="47"/>
      <c r="J213" s="48">
        <f>SmtRes!CZ44</f>
        <v>320.41000000000003</v>
      </c>
      <c r="K213" s="47"/>
      <c r="L213" s="48">
        <f>SmtRes!DI44</f>
        <v>3459.77</v>
      </c>
    </row>
    <row r="214" spans="1:101" ht="15">
      <c r="A214" s="43"/>
      <c r="B214" s="46">
        <v>2</v>
      </c>
      <c r="C214" s="43" t="s">
        <v>434</v>
      </c>
      <c r="D214" s="45"/>
      <c r="E214" s="50"/>
      <c r="F214" s="46"/>
      <c r="G214" s="46"/>
      <c r="H214" s="46"/>
      <c r="I214" s="46"/>
      <c r="J214" s="46"/>
      <c r="K214" s="46"/>
      <c r="L214" s="51">
        <f>SUM(L215:L220)-SUMIF(CE215:CE220, 1, L215:L220)</f>
        <v>1744.6999999999996</v>
      </c>
    </row>
    <row r="215" spans="1:101" ht="15">
      <c r="A215" s="43"/>
      <c r="B215" s="46"/>
      <c r="C215" s="43" t="s">
        <v>436</v>
      </c>
      <c r="D215" s="45" t="s">
        <v>271</v>
      </c>
      <c r="E215" s="50"/>
      <c r="F215" s="46"/>
      <c r="G215" s="46">
        <f>Source!V40</f>
        <v>1.5753528000000001</v>
      </c>
      <c r="H215" s="46"/>
      <c r="I215" s="46"/>
      <c r="J215" s="46"/>
      <c r="K215" s="46"/>
      <c r="L215" s="51">
        <f>SUMIF(CE216:CE220, 1, L216:L220)</f>
        <v>832.12</v>
      </c>
      <c r="CE215">
        <v>1</v>
      </c>
    </row>
    <row r="216" spans="1:101" ht="28.5">
      <c r="A216" s="44"/>
      <c r="B216" s="44" t="s">
        <v>347</v>
      </c>
      <c r="C216" s="44" t="s">
        <v>349</v>
      </c>
      <c r="D216" s="45" t="s">
        <v>279</v>
      </c>
      <c r="E216" s="46">
        <v>18</v>
      </c>
      <c r="F216" s="46">
        <f>ROUND((0.15+1)*1.25,7)</f>
        <v>1.4375</v>
      </c>
      <c r="G216" s="46">
        <f>SmtRes!CX46</f>
        <v>1.5649200000000001</v>
      </c>
      <c r="H216" s="48"/>
      <c r="I216" s="47"/>
      <c r="J216" s="48">
        <f>SmtRes!CZ46</f>
        <v>1105.93</v>
      </c>
      <c r="K216" s="47"/>
      <c r="L216" s="48">
        <f>SmtRes!DG46</f>
        <v>1730.69</v>
      </c>
    </row>
    <row r="217" spans="1:101" ht="28.5">
      <c r="A217" s="44"/>
      <c r="B217" s="44" t="s">
        <v>280</v>
      </c>
      <c r="C217" s="44" t="s">
        <v>435</v>
      </c>
      <c r="D217" s="45" t="s">
        <v>271</v>
      </c>
      <c r="E217" s="46">
        <f>SmtRes!DO46*SmtRes!AT46</f>
        <v>18</v>
      </c>
      <c r="F217" s="46">
        <f>ROUND((0.15+1)*1.25,7)</f>
        <v>1.4375</v>
      </c>
      <c r="G217" s="46">
        <f>ROUND(E217*F217*G207, 7)</f>
        <v>1.5649200000000001</v>
      </c>
      <c r="H217" s="48"/>
      <c r="I217" s="47"/>
      <c r="J217" s="48">
        <f>ROUND(SmtRes!AG46/SmtRes!DO46, 2)</f>
        <v>529.11</v>
      </c>
      <c r="K217" s="47"/>
      <c r="L217" s="48">
        <f>SmtRes!DH46</f>
        <v>828.01</v>
      </c>
      <c r="CE217">
        <v>1</v>
      </c>
    </row>
    <row r="218" spans="1:101" ht="14.25">
      <c r="A218" s="44"/>
      <c r="B218" s="44" t="s">
        <v>350</v>
      </c>
      <c r="C218" s="44" t="s">
        <v>352</v>
      </c>
      <c r="D218" s="45" t="s">
        <v>279</v>
      </c>
      <c r="E218" s="46">
        <v>5.93</v>
      </c>
      <c r="F218" s="46">
        <f>ROUND((0.15+1)*1.25,7)</f>
        <v>1.4375</v>
      </c>
      <c r="G218" s="46">
        <f>SmtRes!CX47</f>
        <v>0.51555419999999996</v>
      </c>
      <c r="H218" s="48">
        <f>SmtRes!CZ47</f>
        <v>8.5399999999999991</v>
      </c>
      <c r="I218" s="47">
        <f>SmtRes!AJ47</f>
        <v>1.81</v>
      </c>
      <c r="J218" s="48">
        <f>ROUND(H218*I218, 2)</f>
        <v>15.46</v>
      </c>
      <c r="K218" s="47"/>
      <c r="L218" s="48">
        <f>SmtRes!DG47</f>
        <v>7.97</v>
      </c>
    </row>
    <row r="219" spans="1:101" ht="28.5">
      <c r="A219" s="44"/>
      <c r="B219" s="44" t="s">
        <v>315</v>
      </c>
      <c r="C219" s="44" t="s">
        <v>317</v>
      </c>
      <c r="D219" s="45" t="s">
        <v>279</v>
      </c>
      <c r="E219" s="46">
        <v>0.12</v>
      </c>
      <c r="F219" s="46">
        <f>ROUND((0.15+1)*1.25,7)</f>
        <v>1.4375</v>
      </c>
      <c r="G219" s="46">
        <f>SmtRes!CX48</f>
        <v>1.0432800000000001E-2</v>
      </c>
      <c r="H219" s="48"/>
      <c r="I219" s="47"/>
      <c r="J219" s="48">
        <f>SmtRes!CZ48</f>
        <v>579.09</v>
      </c>
      <c r="K219" s="47"/>
      <c r="L219" s="48">
        <f>SmtRes!DG48</f>
        <v>6.04</v>
      </c>
    </row>
    <row r="220" spans="1:101" ht="28.5">
      <c r="A220" s="44"/>
      <c r="B220" s="44" t="s">
        <v>295</v>
      </c>
      <c r="C220" s="44" t="s">
        <v>441</v>
      </c>
      <c r="D220" s="45" t="s">
        <v>271</v>
      </c>
      <c r="E220" s="46">
        <f>SmtRes!DO48*SmtRes!AT48</f>
        <v>0.12</v>
      </c>
      <c r="F220" s="46">
        <f>ROUND((0.15+1)*1.25,7)</f>
        <v>1.4375</v>
      </c>
      <c r="G220" s="46">
        <f>ROUND(E220*F220*G207, 7)</f>
        <v>1.0432800000000001E-2</v>
      </c>
      <c r="H220" s="48"/>
      <c r="I220" s="47"/>
      <c r="J220" s="48">
        <f>ROUND(SmtRes!AG48/SmtRes!DO48, 2)</f>
        <v>393.89</v>
      </c>
      <c r="K220" s="47"/>
      <c r="L220" s="48">
        <f>SmtRes!DH48</f>
        <v>4.1100000000000003</v>
      </c>
      <c r="CE220">
        <v>1</v>
      </c>
    </row>
    <row r="221" spans="1:101" ht="15">
      <c r="A221" s="43"/>
      <c r="B221" s="46">
        <v>4</v>
      </c>
      <c r="C221" s="43" t="s">
        <v>437</v>
      </c>
      <c r="D221" s="45"/>
      <c r="E221" s="50"/>
      <c r="F221" s="46"/>
      <c r="G221" s="46"/>
      <c r="H221" s="46"/>
      <c r="I221" s="46"/>
      <c r="J221" s="46"/>
      <c r="K221" s="46"/>
      <c r="L221" s="51">
        <f>SUM(L222:L223)-SUMIF(CE222:CE223, 1, L222:L223)</f>
        <v>218.64000000000001</v>
      </c>
    </row>
    <row r="222" spans="1:101" ht="14.25">
      <c r="A222" s="44"/>
      <c r="B222" s="44" t="s">
        <v>307</v>
      </c>
      <c r="C222" s="44" t="s">
        <v>309</v>
      </c>
      <c r="D222" s="45" t="s">
        <v>75</v>
      </c>
      <c r="E222" s="46">
        <v>1.75</v>
      </c>
      <c r="F222" s="46"/>
      <c r="G222" s="46">
        <f>SmtRes!CX49</f>
        <v>0.10584</v>
      </c>
      <c r="H222" s="48">
        <f>SmtRes!CZ49</f>
        <v>35.71</v>
      </c>
      <c r="I222" s="47">
        <f>SmtRes!AI49</f>
        <v>0.88</v>
      </c>
      <c r="J222" s="48">
        <f>ROUND(H222*I222, 2)</f>
        <v>31.42</v>
      </c>
      <c r="K222" s="47"/>
      <c r="L222" s="48">
        <f>SmtRes!DF49</f>
        <v>3.33</v>
      </c>
    </row>
    <row r="223" spans="1:101" ht="28.5">
      <c r="A223" s="44"/>
      <c r="B223" s="44" t="s">
        <v>353</v>
      </c>
      <c r="C223" s="52" t="s">
        <v>355</v>
      </c>
      <c r="D223" s="53" t="s">
        <v>128</v>
      </c>
      <c r="E223" s="54">
        <v>250</v>
      </c>
      <c r="F223" s="54"/>
      <c r="G223" s="54">
        <f>SmtRes!CX50</f>
        <v>15.12</v>
      </c>
      <c r="H223" s="55">
        <f>SmtRes!CZ50</f>
        <v>12.83</v>
      </c>
      <c r="I223" s="56">
        <f>SmtRes!AI50</f>
        <v>1.1100000000000001</v>
      </c>
      <c r="J223" s="55">
        <f>ROUND(H223*I223, 2)</f>
        <v>14.24</v>
      </c>
      <c r="K223" s="56"/>
      <c r="L223" s="55">
        <f>SmtRes!DF50</f>
        <v>215.31</v>
      </c>
    </row>
    <row r="224" spans="1:101" ht="15">
      <c r="A224" s="44"/>
      <c r="B224" s="44"/>
      <c r="C224" s="58" t="s">
        <v>426</v>
      </c>
      <c r="D224" s="45"/>
      <c r="E224" s="46"/>
      <c r="F224" s="46"/>
      <c r="G224" s="46"/>
      <c r="H224" s="48"/>
      <c r="I224" s="47"/>
      <c r="J224" s="48"/>
      <c r="K224" s="47"/>
      <c r="L224" s="48">
        <f>L212+L214+L215+L221</f>
        <v>6255.23</v>
      </c>
    </row>
    <row r="225" spans="1:82" ht="42.75">
      <c r="A225" s="42" t="s">
        <v>477</v>
      </c>
      <c r="B225" s="44" t="str">
        <f>Source!F41</f>
        <v>04.1.02.05-0140</v>
      </c>
      <c r="C225" s="44" t="str">
        <f>Source!G41</f>
        <v>Смеси бетонные тяжелого бетона (БСТ) на щебне из гравия, класс В20, F(1)150, W6</v>
      </c>
      <c r="D225" s="45" t="str">
        <f>Source!H41</f>
        <v>м3</v>
      </c>
      <c r="E225" s="46">
        <f>SmtRes!AT51</f>
        <v>102</v>
      </c>
      <c r="F225" s="46"/>
      <c r="G225" s="46">
        <f>Source!I41</f>
        <v>6.1689600000000002</v>
      </c>
      <c r="H225" s="48">
        <f>Source!AL41+Source!AO41+Source!AM41+Source!AN41</f>
        <v>4955.9799999999996</v>
      </c>
      <c r="I225" s="47">
        <f>IF(Source!BC41&lt;&gt; 0, Source!BC41, 1)</f>
        <v>1.46</v>
      </c>
      <c r="J225" s="48">
        <f>ROUND(H225*I225, 2)</f>
        <v>7235.73</v>
      </c>
      <c r="K225" s="47"/>
      <c r="L225" s="48">
        <f>Source!P41</f>
        <v>44636.93</v>
      </c>
      <c r="AD225">
        <f>ROUND((Source!AT41/100)*((ROUND(ROUND(Source!AO41,2)*Source!I41, 2)+ROUND(ROUND(Source!AN41,2)*Source!I41, 2))), 2)</f>
        <v>0</v>
      </c>
      <c r="AE225">
        <f>ROUND((Source!AU41/100)*((ROUND(ROUND(Source!AO41,2)*Source!I41, 2)+ROUND(ROUND(Source!AN41,2)*Source!I41, 2))), 2)</f>
        <v>0</v>
      </c>
      <c r="AN225">
        <f>L225</f>
        <v>44636.93</v>
      </c>
      <c r="AW225">
        <f>L225</f>
        <v>44636.93</v>
      </c>
      <c r="AZ225">
        <f>Source!X41</f>
        <v>0</v>
      </c>
      <c r="BA225">
        <f>Source!Y41</f>
        <v>0</v>
      </c>
      <c r="CD225">
        <v>1</v>
      </c>
    </row>
    <row r="226" spans="1:82" ht="14.25">
      <c r="A226" s="44"/>
      <c r="B226" s="44"/>
      <c r="C226" s="44" t="s">
        <v>427</v>
      </c>
      <c r="D226" s="45"/>
      <c r="E226" s="46"/>
      <c r="F226" s="46"/>
      <c r="G226" s="46"/>
      <c r="H226" s="48"/>
      <c r="I226" s="47"/>
      <c r="J226" s="48"/>
      <c r="K226" s="47"/>
      <c r="L226" s="48">
        <f>SUM(AR207:AR229)+SUM(AS207:AS229)+SUM(AT207:AT229)+SUM(AU207:AU229)+SUM(AV207:AV229)</f>
        <v>4291.8900000000003</v>
      </c>
    </row>
    <row r="227" spans="1:82" ht="42.75">
      <c r="A227" s="44"/>
      <c r="B227" s="44" t="s">
        <v>472</v>
      </c>
      <c r="C227" s="44" t="s">
        <v>473</v>
      </c>
      <c r="D227" s="45" t="s">
        <v>429</v>
      </c>
      <c r="E227" s="46">
        <f>Source!BZ40</f>
        <v>102</v>
      </c>
      <c r="F227" s="46">
        <f>ROUND(0.9,7)</f>
        <v>0.9</v>
      </c>
      <c r="G227" s="46">
        <f>Source!AT40</f>
        <v>91.8</v>
      </c>
      <c r="H227" s="48"/>
      <c r="I227" s="47"/>
      <c r="J227" s="48"/>
      <c r="K227" s="47"/>
      <c r="L227" s="48">
        <f>SUM(AZ207:AZ229)</f>
        <v>3939.96</v>
      </c>
    </row>
    <row r="228" spans="1:82" ht="42.75">
      <c r="A228" s="52"/>
      <c r="B228" s="52" t="s">
        <v>474</v>
      </c>
      <c r="C228" s="52" t="s">
        <v>475</v>
      </c>
      <c r="D228" s="53" t="s">
        <v>429</v>
      </c>
      <c r="E228" s="54">
        <f>Source!CA40</f>
        <v>58</v>
      </c>
      <c r="F228" s="54">
        <f>ROUND(0.85,7)</f>
        <v>0.85</v>
      </c>
      <c r="G228" s="54">
        <f>Source!AU40</f>
        <v>49.3</v>
      </c>
      <c r="H228" s="55"/>
      <c r="I228" s="56"/>
      <c r="J228" s="55"/>
      <c r="K228" s="56"/>
      <c r="L228" s="55">
        <f>SUM(BA207:BA229)</f>
        <v>2115.9</v>
      </c>
    </row>
    <row r="229" spans="1:82" ht="15">
      <c r="C229" s="90" t="s">
        <v>431</v>
      </c>
      <c r="D229" s="90"/>
      <c r="E229" s="90"/>
      <c r="F229" s="90"/>
      <c r="G229" s="90"/>
      <c r="H229" s="90"/>
      <c r="I229" s="91">
        <f>IF(E207&lt;&gt;0,K229/E207, 0)</f>
        <v>941600.85978835984</v>
      </c>
      <c r="J229" s="91"/>
      <c r="K229" s="91">
        <f>L212+L214+L221+L227+L228+L215+SUM(L225:L225)</f>
        <v>56948.020000000004</v>
      </c>
      <c r="L229" s="91"/>
      <c r="AD229">
        <f>ROUND((Source!AT40/100)*((ROUND(SUMIF(SmtRes!AQ44:'SmtRes'!AQ51,"=1",SmtRes!AD44:'SmtRes'!AD51)*Source!I40, 2)+ROUND(SUMIF(SmtRes!AQ44:'SmtRes'!AQ51,"=1",SmtRes!AC44:'SmtRes'!AC51)*Source!I40, 2))), 2)</f>
        <v>69.03</v>
      </c>
      <c r="AE229">
        <f>ROUND((Source!AU40/100)*((ROUND(SUMIF(SmtRes!AQ44:'SmtRes'!AQ51,"=1",SmtRes!AD44:'SmtRes'!AD51)*Source!I40, 2)+ROUND(SUMIF(SmtRes!AQ44:'SmtRes'!AQ51,"=1",SmtRes!AC44:'SmtRes'!AC51)*Source!I40, 2))), 2)</f>
        <v>37.07</v>
      </c>
      <c r="AN229" s="57">
        <f>L212+L214+L221+L227+L228+L215</f>
        <v>12311.09</v>
      </c>
      <c r="AO229" s="57">
        <f>L214</f>
        <v>1744.6999999999996</v>
      </c>
      <c r="AQ229" t="s">
        <v>432</v>
      </c>
      <c r="AR229" s="57">
        <f>L212</f>
        <v>3459.77</v>
      </c>
      <c r="AT229" s="57">
        <f>L215</f>
        <v>832.12</v>
      </c>
      <c r="AV229" t="s">
        <v>432</v>
      </c>
      <c r="AW229" s="57">
        <f>L221</f>
        <v>218.64000000000001</v>
      </c>
      <c r="AZ229">
        <f>Source!X40</f>
        <v>3939.96</v>
      </c>
      <c r="BA229">
        <f>Source!Y40</f>
        <v>2115.9</v>
      </c>
      <c r="CD229">
        <v>1</v>
      </c>
    </row>
    <row r="231" spans="1:82" ht="15">
      <c r="A231" s="68"/>
      <c r="B231" s="69"/>
      <c r="C231" s="87" t="s">
        <v>478</v>
      </c>
      <c r="D231" s="87"/>
      <c r="E231" s="87"/>
      <c r="F231" s="87"/>
      <c r="G231" s="87"/>
      <c r="H231" s="87"/>
      <c r="I231" s="70"/>
      <c r="J231" s="68"/>
      <c r="K231" s="71"/>
      <c r="L231" s="70"/>
    </row>
    <row r="233" spans="1:82" ht="15">
      <c r="A233" s="65"/>
      <c r="B233" s="66"/>
      <c r="C233" s="84" t="s">
        <v>479</v>
      </c>
      <c r="D233" s="84"/>
      <c r="E233" s="84"/>
      <c r="F233" s="84"/>
      <c r="G233" s="84"/>
      <c r="H233" s="84"/>
      <c r="I233" s="51"/>
      <c r="J233" s="65"/>
      <c r="K233" s="67"/>
      <c r="L233" s="51">
        <f>L235+L250+L251</f>
        <v>216723.43</v>
      </c>
    </row>
    <row r="234" spans="1:82" ht="14.25">
      <c r="A234" s="59"/>
      <c r="B234" s="64"/>
      <c r="C234" s="86" t="s">
        <v>480</v>
      </c>
      <c r="D234" s="81"/>
      <c r="E234" s="81"/>
      <c r="F234" s="81"/>
      <c r="G234" s="81"/>
      <c r="H234" s="81"/>
      <c r="I234" s="48"/>
      <c r="J234" s="59"/>
      <c r="K234" s="46"/>
      <c r="L234" s="48"/>
    </row>
    <row r="235" spans="1:82" ht="14.25">
      <c r="A235" s="59"/>
      <c r="B235" s="64"/>
      <c r="C235" s="81" t="s">
        <v>481</v>
      </c>
      <c r="D235" s="81"/>
      <c r="E235" s="81"/>
      <c r="F235" s="81"/>
      <c r="G235" s="81"/>
      <c r="H235" s="81"/>
      <c r="I235" s="48"/>
      <c r="J235" s="59"/>
      <c r="K235" s="46"/>
      <c r="L235" s="48">
        <f>L237+L238+L244+L248</f>
        <v>163768.54</v>
      </c>
    </row>
    <row r="236" spans="1:82" ht="14.25">
      <c r="A236" s="59"/>
      <c r="B236" s="64"/>
      <c r="C236" s="86" t="s">
        <v>480</v>
      </c>
      <c r="D236" s="81"/>
      <c r="E236" s="81"/>
      <c r="F236" s="81"/>
      <c r="G236" s="81"/>
      <c r="H236" s="81"/>
      <c r="I236" s="48"/>
      <c r="J236" s="59"/>
      <c r="K236" s="46"/>
      <c r="L236" s="48"/>
    </row>
    <row r="237" spans="1:82" ht="14.25">
      <c r="A237" s="59"/>
      <c r="B237" s="64"/>
      <c r="C237" s="81" t="s">
        <v>482</v>
      </c>
      <c r="D237" s="81"/>
      <c r="E237" s="81"/>
      <c r="F237" s="81"/>
      <c r="G237" s="81"/>
      <c r="H237" s="81"/>
      <c r="I237" s="48"/>
      <c r="J237" s="59"/>
      <c r="K237" s="46"/>
      <c r="L237" s="48">
        <f>SUMIF(CD52:CD229, 1, AR52:AR229)</f>
        <v>33627.319999999992</v>
      </c>
    </row>
    <row r="238" spans="1:82" ht="14.25" hidden="1">
      <c r="A238" s="59"/>
      <c r="B238" s="64"/>
      <c r="C238" s="81" t="s">
        <v>483</v>
      </c>
      <c r="D238" s="81"/>
      <c r="E238" s="81"/>
      <c r="F238" s="81"/>
      <c r="G238" s="81"/>
      <c r="H238" s="81"/>
      <c r="I238" s="48"/>
      <c r="J238" s="59"/>
      <c r="K238" s="46"/>
      <c r="L238" s="48">
        <f>L240+L243+L242</f>
        <v>8774.5999999999985</v>
      </c>
    </row>
    <row r="239" spans="1:82" ht="14.25" hidden="1">
      <c r="A239" s="59"/>
      <c r="B239" s="64"/>
      <c r="C239" s="86" t="s">
        <v>484</v>
      </c>
      <c r="D239" s="81"/>
      <c r="E239" s="81"/>
      <c r="F239" s="81"/>
      <c r="G239" s="81"/>
      <c r="H239" s="81"/>
      <c r="I239" s="48"/>
      <c r="J239" s="59"/>
      <c r="K239" s="46"/>
      <c r="L239" s="48"/>
    </row>
    <row r="240" spans="1:82" ht="14.25">
      <c r="A240" s="59"/>
      <c r="B240" s="64"/>
      <c r="C240" s="81" t="s">
        <v>483</v>
      </c>
      <c r="D240" s="81"/>
      <c r="E240" s="81"/>
      <c r="F240" s="81"/>
      <c r="G240" s="81"/>
      <c r="H240" s="81"/>
      <c r="I240" s="48"/>
      <c r="J240" s="59"/>
      <c r="K240" s="46"/>
      <c r="L240" s="48">
        <f>SUMIF(CD52:CD229, 1, AO52:AO229)</f>
        <v>6613.619999999999</v>
      </c>
    </row>
    <row r="241" spans="1:12" ht="14.25" hidden="1">
      <c r="A241" s="59"/>
      <c r="B241" s="64"/>
      <c r="C241" s="86" t="s">
        <v>485</v>
      </c>
      <c r="D241" s="81"/>
      <c r="E241" s="81"/>
      <c r="F241" s="81"/>
      <c r="G241" s="81"/>
      <c r="H241" s="81"/>
      <c r="I241" s="48"/>
      <c r="J241" s="59"/>
      <c r="K241" s="46"/>
      <c r="L241" s="48"/>
    </row>
    <row r="242" spans="1:12" ht="14.25">
      <c r="A242" s="59"/>
      <c r="B242" s="64"/>
      <c r="C242" s="81" t="s">
        <v>494</v>
      </c>
      <c r="D242" s="81"/>
      <c r="E242" s="81"/>
      <c r="F242" s="81"/>
      <c r="G242" s="81"/>
      <c r="H242" s="81"/>
      <c r="I242" s="48"/>
      <c r="J242" s="59"/>
      <c r="K242" s="46"/>
      <c r="L242" s="48">
        <f>SUMIF(CD52:CD229, 1, AT52:AT229)</f>
        <v>2160.98</v>
      </c>
    </row>
    <row r="243" spans="1:12" ht="14.25" hidden="1">
      <c r="A243" s="59"/>
      <c r="B243" s="64"/>
      <c r="C243" s="81" t="s">
        <v>486</v>
      </c>
      <c r="D243" s="81"/>
      <c r="E243" s="81"/>
      <c r="F243" s="81"/>
      <c r="G243" s="81"/>
      <c r="H243" s="81"/>
      <c r="I243" s="48"/>
      <c r="J243" s="59"/>
      <c r="K243" s="46"/>
      <c r="L243" s="48">
        <f>SUMIF(CD52:CD229, 1, AV52:AV229)</f>
        <v>0</v>
      </c>
    </row>
    <row r="244" spans="1:12" ht="14.25">
      <c r="A244" s="59"/>
      <c r="B244" s="64"/>
      <c r="C244" s="81" t="s">
        <v>487</v>
      </c>
      <c r="D244" s="81"/>
      <c r="E244" s="81"/>
      <c r="F244" s="81"/>
      <c r="G244" s="81"/>
      <c r="H244" s="81"/>
      <c r="I244" s="48"/>
      <c r="J244" s="59"/>
      <c r="K244" s="46"/>
      <c r="L244" s="48">
        <f>L246+L247</f>
        <v>116276.05</v>
      </c>
    </row>
    <row r="245" spans="1:12" ht="14.25">
      <c r="A245" s="59"/>
      <c r="B245" s="64"/>
      <c r="C245" s="86" t="s">
        <v>484</v>
      </c>
      <c r="D245" s="81"/>
      <c r="E245" s="81"/>
      <c r="F245" s="81"/>
      <c r="G245" s="81"/>
      <c r="H245" s="81"/>
      <c r="I245" s="48"/>
      <c r="J245" s="59"/>
      <c r="K245" s="46"/>
      <c r="L245" s="48"/>
    </row>
    <row r="246" spans="1:12" ht="14.25">
      <c r="A246" s="59"/>
      <c r="B246" s="64"/>
      <c r="C246" s="81" t="s">
        <v>488</v>
      </c>
      <c r="D246" s="81"/>
      <c r="E246" s="81"/>
      <c r="F246" s="81"/>
      <c r="G246" s="81"/>
      <c r="H246" s="81"/>
      <c r="I246" s="48"/>
      <c r="J246" s="59"/>
      <c r="K246" s="46"/>
      <c r="L246" s="48">
        <f>SUMIF(CD52:CD229, 1, AW52:AW229)-SUMIF(CD52:CD229, 1, BK52:BK229)</f>
        <v>116276.05</v>
      </c>
    </row>
    <row r="247" spans="1:12" ht="14.25" hidden="1">
      <c r="A247" s="59"/>
      <c r="B247" s="64"/>
      <c r="C247" s="81" t="s">
        <v>489</v>
      </c>
      <c r="D247" s="81"/>
      <c r="E247" s="81"/>
      <c r="F247" s="81"/>
      <c r="G247" s="81"/>
      <c r="H247" s="81"/>
      <c r="I247" s="48"/>
      <c r="J247" s="59"/>
      <c r="K247" s="46"/>
      <c r="L247" s="48">
        <f>SUMIF(CD52:CD229, 1, BC52:BC229)</f>
        <v>0</v>
      </c>
    </row>
    <row r="248" spans="1:12" ht="14.25">
      <c r="A248" s="59"/>
      <c r="B248" s="64"/>
      <c r="C248" s="81" t="s">
        <v>490</v>
      </c>
      <c r="D248" s="81"/>
      <c r="E248" s="81"/>
      <c r="F248" s="81"/>
      <c r="G248" s="81"/>
      <c r="H248" s="81"/>
      <c r="I248" s="48"/>
      <c r="J248" s="59"/>
      <c r="K248" s="46"/>
      <c r="L248" s="48">
        <f>SUMIF(CD52:CD229, 1, BB52:BB229)</f>
        <v>5090.57</v>
      </c>
    </row>
    <row r="249" spans="1:12" ht="14.25">
      <c r="A249" s="59"/>
      <c r="B249" s="64"/>
      <c r="C249" s="81" t="s">
        <v>491</v>
      </c>
      <c r="D249" s="81"/>
      <c r="E249" s="81"/>
      <c r="F249" s="81"/>
      <c r="G249" s="81"/>
      <c r="H249" s="81"/>
      <c r="I249" s="48"/>
      <c r="J249" s="59"/>
      <c r="K249" s="46"/>
      <c r="L249" s="48">
        <f>SUMIF(CD52:CD229, 1, AR52:AR229)+SUMIF(CD52:CD229, 1, AT52:AT229)+SUMIF(CD52:CD229, 1, AV52:AV229)</f>
        <v>35788.299999999996</v>
      </c>
    </row>
    <row r="250" spans="1:12" ht="14.25">
      <c r="A250" s="59"/>
      <c r="B250" s="64"/>
      <c r="C250" s="81" t="s">
        <v>492</v>
      </c>
      <c r="D250" s="81"/>
      <c r="E250" s="81"/>
      <c r="F250" s="81"/>
      <c r="G250" s="81"/>
      <c r="H250" s="81"/>
      <c r="I250" s="48"/>
      <c r="J250" s="59"/>
      <c r="K250" s="46"/>
      <c r="L250" s="48">
        <f>SUMIF(CD52:CD229, 1, AZ52:AZ229)</f>
        <v>34324.43</v>
      </c>
    </row>
    <row r="251" spans="1:12" ht="14.25">
      <c r="A251" s="59"/>
      <c r="B251" s="64"/>
      <c r="C251" s="81" t="s">
        <v>493</v>
      </c>
      <c r="D251" s="81"/>
      <c r="E251" s="81"/>
      <c r="F251" s="81"/>
      <c r="G251" s="81"/>
      <c r="H251" s="81"/>
      <c r="I251" s="48"/>
      <c r="J251" s="59"/>
      <c r="K251" s="46"/>
      <c r="L251" s="48">
        <f>SUMIF(CD52:CD229, 1, BA52:BA229)</f>
        <v>18630.46</v>
      </c>
    </row>
    <row r="252" spans="1:12" hidden="1"/>
    <row r="253" spans="1:12" ht="15" hidden="1">
      <c r="A253" s="65"/>
      <c r="B253" s="66"/>
      <c r="C253" s="84" t="s">
        <v>495</v>
      </c>
      <c r="D253" s="84"/>
      <c r="E253" s="84"/>
      <c r="F253" s="84"/>
      <c r="G253" s="84"/>
      <c r="H253" s="84"/>
      <c r="I253" s="51"/>
      <c r="J253" s="65"/>
      <c r="K253" s="67"/>
      <c r="L253" s="51">
        <f>L255+L270+L271</f>
        <v>0</v>
      </c>
    </row>
    <row r="254" spans="1:12" ht="14.25" hidden="1">
      <c r="A254" s="59"/>
      <c r="B254" s="64"/>
      <c r="C254" s="86" t="s">
        <v>480</v>
      </c>
      <c r="D254" s="81"/>
      <c r="E254" s="81"/>
      <c r="F254" s="81"/>
      <c r="G254" s="81"/>
      <c r="H254" s="81"/>
      <c r="I254" s="48"/>
      <c r="J254" s="59"/>
      <c r="K254" s="46"/>
      <c r="L254" s="48"/>
    </row>
    <row r="255" spans="1:12" ht="14.25" hidden="1">
      <c r="A255" s="59"/>
      <c r="B255" s="64"/>
      <c r="C255" s="81" t="s">
        <v>481</v>
      </c>
      <c r="D255" s="81"/>
      <c r="E255" s="81"/>
      <c r="F255" s="81"/>
      <c r="G255" s="81"/>
      <c r="H255" s="81"/>
      <c r="I255" s="48"/>
      <c r="J255" s="59"/>
      <c r="K255" s="46"/>
      <c r="L255" s="48">
        <f>L257+L258+L264+L268</f>
        <v>0</v>
      </c>
    </row>
    <row r="256" spans="1:12" ht="14.25" hidden="1">
      <c r="A256" s="59"/>
      <c r="B256" s="64"/>
      <c r="C256" s="86" t="s">
        <v>480</v>
      </c>
      <c r="D256" s="81"/>
      <c r="E256" s="81"/>
      <c r="F256" s="81"/>
      <c r="G256" s="81"/>
      <c r="H256" s="81"/>
      <c r="I256" s="48"/>
      <c r="J256" s="59"/>
      <c r="K256" s="46"/>
      <c r="L256" s="48"/>
    </row>
    <row r="257" spans="1:12" ht="14.25" hidden="1">
      <c r="A257" s="59"/>
      <c r="B257" s="64"/>
      <c r="C257" s="81" t="s">
        <v>482</v>
      </c>
      <c r="D257" s="81"/>
      <c r="E257" s="81"/>
      <c r="F257" s="81"/>
      <c r="G257" s="81"/>
      <c r="H257" s="81"/>
      <c r="I257" s="48"/>
      <c r="J257" s="59"/>
      <c r="K257" s="46"/>
      <c r="L257" s="48">
        <f>SUMIF(CD52:CD251, 2, AR52:AR251)</f>
        <v>0</v>
      </c>
    </row>
    <row r="258" spans="1:12" ht="14.25" hidden="1">
      <c r="A258" s="59"/>
      <c r="B258" s="64"/>
      <c r="C258" s="81" t="s">
        <v>483</v>
      </c>
      <c r="D258" s="81"/>
      <c r="E258" s="81"/>
      <c r="F258" s="81"/>
      <c r="G258" s="81"/>
      <c r="H258" s="81"/>
      <c r="I258" s="48"/>
      <c r="J258" s="59"/>
      <c r="K258" s="46"/>
      <c r="L258" s="48">
        <f>L260+L263+L262</f>
        <v>0</v>
      </c>
    </row>
    <row r="259" spans="1:12" ht="14.25" hidden="1">
      <c r="A259" s="59"/>
      <c r="B259" s="64"/>
      <c r="C259" s="86" t="s">
        <v>484</v>
      </c>
      <c r="D259" s="81"/>
      <c r="E259" s="81"/>
      <c r="F259" s="81"/>
      <c r="G259" s="81"/>
      <c r="H259" s="81"/>
      <c r="I259" s="48"/>
      <c r="J259" s="59"/>
      <c r="K259" s="46"/>
      <c r="L259" s="48"/>
    </row>
    <row r="260" spans="1:12" ht="14.25" hidden="1">
      <c r="A260" s="59"/>
      <c r="B260" s="64"/>
      <c r="C260" s="81" t="s">
        <v>483</v>
      </c>
      <c r="D260" s="81"/>
      <c r="E260" s="81"/>
      <c r="F260" s="81"/>
      <c r="G260" s="81"/>
      <c r="H260" s="81"/>
      <c r="I260" s="48"/>
      <c r="J260" s="59"/>
      <c r="K260" s="46"/>
      <c r="L260" s="48">
        <f>SUMIF(CD52:CD251, 2, AO52:AO251)</f>
        <v>0</v>
      </c>
    </row>
    <row r="261" spans="1:12" ht="14.25" hidden="1">
      <c r="A261" s="59"/>
      <c r="B261" s="64"/>
      <c r="C261" s="86" t="s">
        <v>485</v>
      </c>
      <c r="D261" s="81"/>
      <c r="E261" s="81"/>
      <c r="F261" s="81"/>
      <c r="G261" s="81"/>
      <c r="H261" s="81"/>
      <c r="I261" s="48"/>
      <c r="J261" s="59"/>
      <c r="K261" s="46"/>
      <c r="L261" s="48"/>
    </row>
    <row r="262" spans="1:12" ht="14.25" hidden="1">
      <c r="A262" s="59"/>
      <c r="B262" s="64"/>
      <c r="C262" s="81" t="s">
        <v>494</v>
      </c>
      <c r="D262" s="81"/>
      <c r="E262" s="81"/>
      <c r="F262" s="81"/>
      <c r="G262" s="81"/>
      <c r="H262" s="81"/>
      <c r="I262" s="48"/>
      <c r="J262" s="59"/>
      <c r="K262" s="46"/>
      <c r="L262" s="48">
        <f>SUMIF(CD52:CD251, 2, AT52:AT251)</f>
        <v>0</v>
      </c>
    </row>
    <row r="263" spans="1:12" ht="14.25" hidden="1">
      <c r="A263" s="59"/>
      <c r="B263" s="64"/>
      <c r="C263" s="81" t="s">
        <v>486</v>
      </c>
      <c r="D263" s="81"/>
      <c r="E263" s="81"/>
      <c r="F263" s="81"/>
      <c r="G263" s="81"/>
      <c r="H263" s="81"/>
      <c r="I263" s="48"/>
      <c r="J263" s="59"/>
      <c r="K263" s="46"/>
      <c r="L263" s="48">
        <f>SUMIF(CD52:CD251, 2, AV52:AV251)</f>
        <v>0</v>
      </c>
    </row>
    <row r="264" spans="1:12" ht="14.25" hidden="1">
      <c r="A264" s="59"/>
      <c r="B264" s="64"/>
      <c r="C264" s="81" t="s">
        <v>487</v>
      </c>
      <c r="D264" s="81"/>
      <c r="E264" s="81"/>
      <c r="F264" s="81"/>
      <c r="G264" s="81"/>
      <c r="H264" s="81"/>
      <c r="I264" s="48"/>
      <c r="J264" s="59"/>
      <c r="K264" s="46"/>
      <c r="L264" s="48">
        <f>L266+L267</f>
        <v>0</v>
      </c>
    </row>
    <row r="265" spans="1:12" ht="14.25" hidden="1">
      <c r="A265" s="59"/>
      <c r="B265" s="64"/>
      <c r="C265" s="86" t="s">
        <v>484</v>
      </c>
      <c r="D265" s="81"/>
      <c r="E265" s="81"/>
      <c r="F265" s="81"/>
      <c r="G265" s="81"/>
      <c r="H265" s="81"/>
      <c r="I265" s="48"/>
      <c r="J265" s="59"/>
      <c r="K265" s="46"/>
      <c r="L265" s="48"/>
    </row>
    <row r="266" spans="1:12" ht="14.25" hidden="1">
      <c r="A266" s="59"/>
      <c r="B266" s="64"/>
      <c r="C266" s="81" t="s">
        <v>488</v>
      </c>
      <c r="D266" s="81"/>
      <c r="E266" s="81"/>
      <c r="F266" s="81"/>
      <c r="G266" s="81"/>
      <c r="H266" s="81"/>
      <c r="I266" s="48"/>
      <c r="J266" s="59"/>
      <c r="K266" s="46"/>
      <c r="L266" s="48">
        <f>SUMIF(CD52:CD251, 2, AW52:AW251)-SUMIF(CD52:CD251, 2, BK52:BK251)</f>
        <v>0</v>
      </c>
    </row>
    <row r="267" spans="1:12" ht="14.25" hidden="1">
      <c r="A267" s="59"/>
      <c r="B267" s="64"/>
      <c r="C267" s="81" t="s">
        <v>489</v>
      </c>
      <c r="D267" s="81"/>
      <c r="E267" s="81"/>
      <c r="F267" s="81"/>
      <c r="G267" s="81"/>
      <c r="H267" s="81"/>
      <c r="I267" s="48"/>
      <c r="J267" s="59"/>
      <c r="K267" s="46"/>
      <c r="L267" s="48">
        <f>SUMIF(CD52:CD251, 2, BC52:BC251)</f>
        <v>0</v>
      </c>
    </row>
    <row r="268" spans="1:12" ht="14.25" hidden="1">
      <c r="A268" s="59"/>
      <c r="B268" s="64"/>
      <c r="C268" s="81" t="s">
        <v>490</v>
      </c>
      <c r="D268" s="81"/>
      <c r="E268" s="81"/>
      <c r="F268" s="81"/>
      <c r="G268" s="81"/>
      <c r="H268" s="81"/>
      <c r="I268" s="48"/>
      <c r="J268" s="59"/>
      <c r="K268" s="46"/>
      <c r="L268" s="48">
        <f>SUMIF(CD52:CD251, 2, BB52:BB251)</f>
        <v>0</v>
      </c>
    </row>
    <row r="269" spans="1:12" ht="14.25" hidden="1">
      <c r="A269" s="59"/>
      <c r="B269" s="64"/>
      <c r="C269" s="81" t="s">
        <v>491</v>
      </c>
      <c r="D269" s="81"/>
      <c r="E269" s="81"/>
      <c r="F269" s="81"/>
      <c r="G269" s="81"/>
      <c r="H269" s="81"/>
      <c r="I269" s="48"/>
      <c r="J269" s="59"/>
      <c r="K269" s="46"/>
      <c r="L269" s="48">
        <f>SUMIF(CD52:CD251, 2, AR52:AR251)+SUMIF(CD52:CD251, 2, AT52:AT251)+SUMIF(CD52:CD251, 2, AV52:AV251)</f>
        <v>0</v>
      </c>
    </row>
    <row r="270" spans="1:12" ht="14.25" hidden="1">
      <c r="A270" s="59"/>
      <c r="B270" s="64"/>
      <c r="C270" s="81" t="s">
        <v>492</v>
      </c>
      <c r="D270" s="81"/>
      <c r="E270" s="81"/>
      <c r="F270" s="81"/>
      <c r="G270" s="81"/>
      <c r="H270" s="81"/>
      <c r="I270" s="48"/>
      <c r="J270" s="59"/>
      <c r="K270" s="46"/>
      <c r="L270" s="48">
        <f>SUMIF(CD52:CD251, 2, AZ52:AZ251)</f>
        <v>0</v>
      </c>
    </row>
    <row r="271" spans="1:12" ht="14.25" hidden="1">
      <c r="A271" s="59"/>
      <c r="B271" s="64"/>
      <c r="C271" s="81" t="s">
        <v>493</v>
      </c>
      <c r="D271" s="81"/>
      <c r="E271" s="81"/>
      <c r="F271" s="81"/>
      <c r="G271" s="81"/>
      <c r="H271" s="81"/>
      <c r="I271" s="48"/>
      <c r="J271" s="59"/>
      <c r="K271" s="46"/>
      <c r="L271" s="48">
        <f>SUMIF(CD52:CD251, 2, BA52:BA251)</f>
        <v>0</v>
      </c>
    </row>
    <row r="272" spans="1:12" hidden="1"/>
    <row r="273" spans="1:12" ht="15" hidden="1">
      <c r="A273" s="65"/>
      <c r="B273" s="66"/>
      <c r="C273" s="84" t="s">
        <v>496</v>
      </c>
      <c r="D273" s="84"/>
      <c r="E273" s="84"/>
      <c r="F273" s="84"/>
      <c r="G273" s="84"/>
      <c r="H273" s="84"/>
      <c r="I273" s="51"/>
      <c r="J273" s="65"/>
      <c r="K273" s="67"/>
      <c r="L273" s="51">
        <f>L275+L276</f>
        <v>0</v>
      </c>
    </row>
    <row r="274" spans="1:12" ht="14.25" hidden="1">
      <c r="A274" s="59"/>
      <c r="B274" s="64"/>
      <c r="C274" s="86" t="s">
        <v>480</v>
      </c>
      <c r="D274" s="81"/>
      <c r="E274" s="81"/>
      <c r="F274" s="81"/>
      <c r="G274" s="81"/>
      <c r="H274" s="81"/>
      <c r="I274" s="48"/>
      <c r="J274" s="59"/>
      <c r="K274" s="46"/>
      <c r="L274" s="48"/>
    </row>
    <row r="275" spans="1:12" ht="14.25" hidden="1">
      <c r="A275" s="59"/>
      <c r="B275" s="64"/>
      <c r="C275" s="81" t="s">
        <v>497</v>
      </c>
      <c r="D275" s="81"/>
      <c r="E275" s="81"/>
      <c r="F275" s="81"/>
      <c r="G275" s="81"/>
      <c r="H275" s="81"/>
      <c r="I275" s="48"/>
      <c r="J275" s="59"/>
      <c r="K275" s="46"/>
      <c r="L275" s="48">
        <f>SUMIF(CD52:CD271, 3, BK52:BK271)</f>
        <v>0</v>
      </c>
    </row>
    <row r="276" spans="1:12" ht="14.25" hidden="1">
      <c r="A276" s="59"/>
      <c r="B276" s="64"/>
      <c r="C276" s="81" t="s">
        <v>498</v>
      </c>
      <c r="D276" s="81"/>
      <c r="E276" s="81"/>
      <c r="F276" s="81"/>
      <c r="G276" s="81"/>
      <c r="H276" s="81"/>
      <c r="I276" s="48"/>
      <c r="J276" s="59"/>
      <c r="K276" s="46"/>
      <c r="L276" s="48">
        <f>SUMIF(CD52:CD271, 3, BD52:BD271)</f>
        <v>0</v>
      </c>
    </row>
    <row r="277" spans="1:12" hidden="1"/>
    <row r="278" spans="1:12" ht="15" hidden="1">
      <c r="A278" s="65"/>
      <c r="B278" s="66"/>
      <c r="C278" s="84" t="s">
        <v>499</v>
      </c>
      <c r="D278" s="84"/>
      <c r="E278" s="84"/>
      <c r="F278" s="84"/>
      <c r="G278" s="84"/>
      <c r="H278" s="84"/>
      <c r="I278" s="51"/>
      <c r="J278" s="65"/>
      <c r="K278" s="67"/>
      <c r="L278" s="51">
        <f>L286+L301+L302+L280+L281+L282+L283</f>
        <v>0</v>
      </c>
    </row>
    <row r="279" spans="1:12" ht="14.25" hidden="1">
      <c r="A279" s="59"/>
      <c r="B279" s="64"/>
      <c r="C279" s="86" t="s">
        <v>480</v>
      </c>
      <c r="D279" s="81"/>
      <c r="E279" s="81"/>
      <c r="F279" s="81"/>
      <c r="G279" s="81"/>
      <c r="H279" s="81"/>
      <c r="I279" s="48"/>
      <c r="J279" s="59"/>
      <c r="K279" s="46"/>
      <c r="L279" s="48"/>
    </row>
    <row r="280" spans="1:12" ht="14.25" hidden="1">
      <c r="A280" s="59"/>
      <c r="B280" s="64"/>
      <c r="C280" s="81" t="s">
        <v>500</v>
      </c>
      <c r="D280" s="81"/>
      <c r="E280" s="81"/>
      <c r="F280" s="81"/>
      <c r="G280" s="81"/>
      <c r="H280" s="81"/>
      <c r="I280" s="48"/>
      <c r="J280" s="59"/>
      <c r="K280" s="46"/>
      <c r="L280" s="48"/>
    </row>
    <row r="281" spans="1:12" ht="14.25" hidden="1">
      <c r="A281" s="59"/>
      <c r="B281" s="64"/>
      <c r="C281" s="81" t="s">
        <v>500</v>
      </c>
      <c r="D281" s="81"/>
      <c r="E281" s="81"/>
      <c r="F281" s="81"/>
      <c r="G281" s="81"/>
      <c r="H281" s="81"/>
      <c r="I281" s="48"/>
      <c r="J281" s="59"/>
      <c r="K281" s="46"/>
      <c r="L281" s="48">
        <f>SUM(BQ52:BQ276)</f>
        <v>0</v>
      </c>
    </row>
    <row r="282" spans="1:12" ht="14.25" hidden="1">
      <c r="A282" s="59"/>
      <c r="B282" s="64"/>
      <c r="C282" s="81" t="s">
        <v>501</v>
      </c>
      <c r="D282" s="81"/>
      <c r="E282" s="81"/>
      <c r="F282" s="81"/>
      <c r="G282" s="81"/>
      <c r="H282" s="81"/>
      <c r="I282" s="48"/>
      <c r="J282" s="59"/>
      <c r="K282" s="46"/>
      <c r="L282" s="48">
        <f>SUMIF(CD52:CD276, 4, BB52:BB276)+SUMIF(CD52:CD276, 4, BC52:BC276)+SUMIF(CD52:CD276, 4, BD52:BD276)</f>
        <v>0</v>
      </c>
    </row>
    <row r="283" spans="1:12" ht="14.25" hidden="1">
      <c r="A283" s="59"/>
      <c r="B283" s="64"/>
      <c r="C283" s="81" t="s">
        <v>502</v>
      </c>
      <c r="D283" s="81"/>
      <c r="E283" s="81"/>
      <c r="F283" s="81"/>
      <c r="G283" s="81"/>
      <c r="H283" s="81"/>
      <c r="I283" s="48"/>
      <c r="J283" s="59"/>
      <c r="K283" s="46"/>
      <c r="L283" s="48">
        <f>SUM(BO52:BO276)</f>
        <v>0</v>
      </c>
    </row>
    <row r="284" spans="1:12" ht="14.25" hidden="1">
      <c r="A284" s="59"/>
      <c r="B284" s="64"/>
      <c r="C284" s="81" t="s">
        <v>503</v>
      </c>
      <c r="D284" s="81"/>
      <c r="E284" s="81"/>
      <c r="F284" s="81"/>
      <c r="G284" s="81"/>
      <c r="H284" s="81"/>
      <c r="I284" s="48"/>
      <c r="J284" s="59"/>
      <c r="K284" s="46"/>
      <c r="L284" s="48">
        <f>L286+L301+L302</f>
        <v>0</v>
      </c>
    </row>
    <row r="285" spans="1:12" ht="14.25" hidden="1">
      <c r="A285" s="59"/>
      <c r="B285" s="64"/>
      <c r="C285" s="86" t="s">
        <v>480</v>
      </c>
      <c r="D285" s="81"/>
      <c r="E285" s="81"/>
      <c r="F285" s="81"/>
      <c r="G285" s="81"/>
      <c r="H285" s="81"/>
      <c r="I285" s="48"/>
      <c r="J285" s="59"/>
      <c r="K285" s="46"/>
      <c r="L285" s="48"/>
    </row>
    <row r="286" spans="1:12" ht="14.25" hidden="1">
      <c r="A286" s="59"/>
      <c r="B286" s="64"/>
      <c r="C286" s="81" t="s">
        <v>481</v>
      </c>
      <c r="D286" s="81"/>
      <c r="E286" s="81"/>
      <c r="F286" s="81"/>
      <c r="G286" s="81"/>
      <c r="H286" s="81"/>
      <c r="I286" s="48"/>
      <c r="J286" s="59"/>
      <c r="K286" s="46"/>
      <c r="L286" s="48">
        <f>L288+L289+L295+L299</f>
        <v>0</v>
      </c>
    </row>
    <row r="287" spans="1:12" ht="14.25" hidden="1">
      <c r="A287" s="59"/>
      <c r="B287" s="64"/>
      <c r="C287" s="86" t="s">
        <v>480</v>
      </c>
      <c r="D287" s="81"/>
      <c r="E287" s="81"/>
      <c r="F287" s="81"/>
      <c r="G287" s="81"/>
      <c r="H287" s="81"/>
      <c r="I287" s="48"/>
      <c r="J287" s="59"/>
      <c r="K287" s="46"/>
      <c r="L287" s="48"/>
    </row>
    <row r="288" spans="1:12" ht="14.25" hidden="1">
      <c r="A288" s="59"/>
      <c r="B288" s="64"/>
      <c r="C288" s="81" t="s">
        <v>482</v>
      </c>
      <c r="D288" s="81"/>
      <c r="E288" s="81"/>
      <c r="F288" s="81"/>
      <c r="G288" s="81"/>
      <c r="H288" s="81"/>
      <c r="I288" s="48"/>
      <c r="J288" s="59"/>
      <c r="K288" s="46"/>
      <c r="L288" s="48">
        <f>SUMIF(CD52:CD276, 4, AR52:AR276)</f>
        <v>0</v>
      </c>
    </row>
    <row r="289" spans="1:12" ht="14.25" hidden="1">
      <c r="A289" s="59"/>
      <c r="B289" s="64"/>
      <c r="C289" s="81" t="s">
        <v>483</v>
      </c>
      <c r="D289" s="81"/>
      <c r="E289" s="81"/>
      <c r="F289" s="81"/>
      <c r="G289" s="81"/>
      <c r="H289" s="81"/>
      <c r="I289" s="48"/>
      <c r="J289" s="59"/>
      <c r="K289" s="46"/>
      <c r="L289" s="48">
        <f>L291+L294+L293</f>
        <v>0</v>
      </c>
    </row>
    <row r="290" spans="1:12" ht="14.25" hidden="1">
      <c r="A290" s="59"/>
      <c r="B290" s="64"/>
      <c r="C290" s="86" t="s">
        <v>484</v>
      </c>
      <c r="D290" s="81"/>
      <c r="E290" s="81"/>
      <c r="F290" s="81"/>
      <c r="G290" s="81"/>
      <c r="H290" s="81"/>
      <c r="I290" s="48"/>
      <c r="J290" s="59"/>
      <c r="K290" s="46"/>
      <c r="L290" s="48"/>
    </row>
    <row r="291" spans="1:12" ht="14.25" hidden="1">
      <c r="A291" s="59"/>
      <c r="B291" s="64"/>
      <c r="C291" s="81" t="s">
        <v>483</v>
      </c>
      <c r="D291" s="81"/>
      <c r="E291" s="81"/>
      <c r="F291" s="81"/>
      <c r="G291" s="81"/>
      <c r="H291" s="81"/>
      <c r="I291" s="48"/>
      <c r="J291" s="59"/>
      <c r="K291" s="46"/>
      <c r="L291" s="48">
        <f>SUMIF(CD52:CD276, 4, AO52:AO276)</f>
        <v>0</v>
      </c>
    </row>
    <row r="292" spans="1:12" ht="14.25" hidden="1">
      <c r="A292" s="59"/>
      <c r="B292" s="64"/>
      <c r="C292" s="86" t="s">
        <v>485</v>
      </c>
      <c r="D292" s="81"/>
      <c r="E292" s="81"/>
      <c r="F292" s="81"/>
      <c r="G292" s="81"/>
      <c r="H292" s="81"/>
      <c r="I292" s="48"/>
      <c r="J292" s="59"/>
      <c r="K292" s="46"/>
      <c r="L292" s="48"/>
    </row>
    <row r="293" spans="1:12" ht="14.25" hidden="1">
      <c r="A293" s="59"/>
      <c r="B293" s="64"/>
      <c r="C293" s="81" t="s">
        <v>494</v>
      </c>
      <c r="D293" s="81"/>
      <c r="E293" s="81"/>
      <c r="F293" s="81"/>
      <c r="G293" s="81"/>
      <c r="H293" s="81"/>
      <c r="I293" s="48"/>
      <c r="J293" s="59"/>
      <c r="K293" s="46"/>
      <c r="L293" s="48">
        <f>SUMIF(CD52:CD276, 4, AT52:AT276)</f>
        <v>0</v>
      </c>
    </row>
    <row r="294" spans="1:12" ht="14.25" hidden="1">
      <c r="A294" s="59"/>
      <c r="B294" s="64"/>
      <c r="C294" s="81" t="s">
        <v>486</v>
      </c>
      <c r="D294" s="81"/>
      <c r="E294" s="81"/>
      <c r="F294" s="81"/>
      <c r="G294" s="81"/>
      <c r="H294" s="81"/>
      <c r="I294" s="48"/>
      <c r="J294" s="59"/>
      <c r="K294" s="46"/>
      <c r="L294" s="48">
        <f>SUMIF(CD52:CD276, 4, AV52:AV276)</f>
        <v>0</v>
      </c>
    </row>
    <row r="295" spans="1:12" ht="14.25" hidden="1">
      <c r="A295" s="59"/>
      <c r="B295" s="64"/>
      <c r="C295" s="81" t="s">
        <v>487</v>
      </c>
      <c r="D295" s="81"/>
      <c r="E295" s="81"/>
      <c r="F295" s="81"/>
      <c r="G295" s="81"/>
      <c r="H295" s="81"/>
      <c r="I295" s="48"/>
      <c r="J295" s="59"/>
      <c r="K295" s="46"/>
      <c r="L295" s="48">
        <f>L297+L298</f>
        <v>0</v>
      </c>
    </row>
    <row r="296" spans="1:12" ht="14.25" hidden="1">
      <c r="A296" s="59"/>
      <c r="B296" s="64"/>
      <c r="C296" s="86" t="s">
        <v>484</v>
      </c>
      <c r="D296" s="81"/>
      <c r="E296" s="81"/>
      <c r="F296" s="81"/>
      <c r="G296" s="81"/>
      <c r="H296" s="81"/>
      <c r="I296" s="48"/>
      <c r="J296" s="59"/>
      <c r="K296" s="46"/>
      <c r="L296" s="48"/>
    </row>
    <row r="297" spans="1:12" ht="14.25" hidden="1">
      <c r="A297" s="59"/>
      <c r="B297" s="64"/>
      <c r="C297" s="81" t="s">
        <v>488</v>
      </c>
      <c r="D297" s="81"/>
      <c r="E297" s="81"/>
      <c r="F297" s="81"/>
      <c r="G297" s="81"/>
      <c r="H297" s="81"/>
      <c r="I297" s="48"/>
      <c r="J297" s="59"/>
      <c r="K297" s="46"/>
      <c r="L297" s="48">
        <f>SUMIF(CD52:CD276, 4, AW52:AW276)-SUMIF(CD52:CD276, 4, BK52:BK276)</f>
        <v>0</v>
      </c>
    </row>
    <row r="298" spans="1:12" ht="14.25" hidden="1">
      <c r="A298" s="59"/>
      <c r="B298" s="64"/>
      <c r="C298" s="81" t="s">
        <v>489</v>
      </c>
      <c r="D298" s="81"/>
      <c r="E298" s="81"/>
      <c r="F298" s="81"/>
      <c r="G298" s="81"/>
      <c r="H298" s="81"/>
      <c r="I298" s="48"/>
      <c r="J298" s="59"/>
      <c r="K298" s="46"/>
      <c r="L298" s="48">
        <f>SUMIF(CD52:CD276, 4, BC52:BC276)</f>
        <v>0</v>
      </c>
    </row>
    <row r="299" spans="1:12" ht="14.25" hidden="1">
      <c r="A299" s="59"/>
      <c r="B299" s="64"/>
      <c r="C299" s="81" t="s">
        <v>490</v>
      </c>
      <c r="D299" s="81"/>
      <c r="E299" s="81"/>
      <c r="F299" s="81"/>
      <c r="G299" s="81"/>
      <c r="H299" s="81"/>
      <c r="I299" s="48"/>
      <c r="J299" s="59"/>
      <c r="K299" s="46"/>
      <c r="L299" s="48">
        <f>SUMIF(CD52:CD276, 4, BB52:BB276)</f>
        <v>0</v>
      </c>
    </row>
    <row r="300" spans="1:12" ht="14.25" hidden="1">
      <c r="A300" s="59"/>
      <c r="B300" s="64"/>
      <c r="C300" s="81" t="s">
        <v>491</v>
      </c>
      <c r="D300" s="81"/>
      <c r="E300" s="81"/>
      <c r="F300" s="81"/>
      <c r="G300" s="81"/>
      <c r="H300" s="81"/>
      <c r="I300" s="48"/>
      <c r="J300" s="59"/>
      <c r="K300" s="46"/>
      <c r="L300" s="48">
        <f>SUMIF(CD52:CD276, 4, AR52:AR276)+SUMIF(CD52:CD276, 4, AT52:AT276)+SUMIF(CD52:CD276, 4, AV52:AV276)</f>
        <v>0</v>
      </c>
    </row>
    <row r="301" spans="1:12" ht="14.25" hidden="1">
      <c r="A301" s="59"/>
      <c r="B301" s="64"/>
      <c r="C301" s="81" t="s">
        <v>492</v>
      </c>
      <c r="D301" s="81"/>
      <c r="E301" s="81"/>
      <c r="F301" s="81"/>
      <c r="G301" s="81"/>
      <c r="H301" s="81"/>
      <c r="I301" s="48"/>
      <c r="J301" s="59"/>
      <c r="K301" s="46"/>
      <c r="L301" s="48">
        <f>SUMIF(CD52:CD276, 4, AZ52:AZ276)</f>
        <v>0</v>
      </c>
    </row>
    <row r="302" spans="1:12" ht="14.25" hidden="1">
      <c r="A302" s="59"/>
      <c r="B302" s="64"/>
      <c r="C302" s="81" t="s">
        <v>493</v>
      </c>
      <c r="D302" s="81"/>
      <c r="E302" s="81"/>
      <c r="F302" s="81"/>
      <c r="G302" s="81"/>
      <c r="H302" s="81"/>
      <c r="I302" s="48"/>
      <c r="J302" s="59"/>
      <c r="K302" s="46"/>
      <c r="L302" s="48">
        <f>SUMIF(CD52:CD276, 4, BA52:BA276)</f>
        <v>0</v>
      </c>
    </row>
    <row r="304" spans="1:12" ht="15">
      <c r="A304" s="65"/>
      <c r="B304" s="66"/>
      <c r="C304" s="84" t="s">
        <v>504</v>
      </c>
      <c r="D304" s="84"/>
      <c r="E304" s="84"/>
      <c r="F304" s="84"/>
      <c r="G304" s="84"/>
      <c r="H304" s="84"/>
      <c r="I304" s="51"/>
      <c r="J304" s="65"/>
      <c r="K304" s="67"/>
      <c r="L304" s="51">
        <f>L233+L253+L273+L278</f>
        <v>216723.43</v>
      </c>
    </row>
    <row r="305" spans="1:12" ht="15">
      <c r="A305" s="65"/>
      <c r="B305" s="66"/>
      <c r="C305" s="58" t="s">
        <v>518</v>
      </c>
      <c r="D305" s="58"/>
      <c r="E305" s="58"/>
      <c r="F305" s="58"/>
      <c r="G305" s="58"/>
      <c r="H305" s="58"/>
      <c r="I305" s="51"/>
      <c r="J305" s="65"/>
      <c r="K305" s="67"/>
      <c r="L305" s="51">
        <f>L306-L304</f>
        <v>47679.154600000009</v>
      </c>
    </row>
    <row r="306" spans="1:12" ht="15">
      <c r="A306" s="65"/>
      <c r="B306" s="66"/>
      <c r="C306" s="58" t="s">
        <v>519</v>
      </c>
      <c r="D306" s="58"/>
      <c r="E306" s="58"/>
      <c r="F306" s="58"/>
      <c r="G306" s="58"/>
      <c r="H306" s="58"/>
      <c r="I306" s="51"/>
      <c r="J306" s="65"/>
      <c r="K306" s="67"/>
      <c r="L306" s="51">
        <f>L304*1.22</f>
        <v>264402.5846</v>
      </c>
    </row>
    <row r="307" spans="1:12" ht="14.25">
      <c r="A307" s="59"/>
      <c r="B307" s="64"/>
      <c r="C307" s="86" t="s">
        <v>480</v>
      </c>
      <c r="D307" s="81"/>
      <c r="E307" s="81"/>
      <c r="F307" s="81"/>
      <c r="G307" s="81"/>
      <c r="H307" s="81"/>
      <c r="I307" s="48"/>
      <c r="J307" s="59"/>
      <c r="K307" s="46"/>
      <c r="L307" s="48"/>
    </row>
    <row r="308" spans="1:12" ht="14.25">
      <c r="A308" s="59"/>
      <c r="B308" s="64"/>
      <c r="C308" s="81" t="s">
        <v>481</v>
      </c>
      <c r="D308" s="81"/>
      <c r="E308" s="81"/>
      <c r="F308" s="81"/>
      <c r="G308" s="81"/>
      <c r="H308" s="81"/>
      <c r="I308" s="48"/>
      <c r="J308" s="59"/>
      <c r="K308" s="46"/>
      <c r="L308" s="48">
        <f>L310+L311+L317+L321</f>
        <v>163768.54</v>
      </c>
    </row>
    <row r="309" spans="1:12" ht="14.25">
      <c r="A309" s="59"/>
      <c r="B309" s="64"/>
      <c r="C309" s="86" t="s">
        <v>480</v>
      </c>
      <c r="D309" s="81"/>
      <c r="E309" s="81"/>
      <c r="F309" s="81"/>
      <c r="G309" s="81"/>
      <c r="H309" s="81"/>
      <c r="I309" s="48"/>
      <c r="J309" s="59"/>
      <c r="K309" s="46"/>
      <c r="L309" s="48"/>
    </row>
    <row r="310" spans="1:12" ht="14.25">
      <c r="A310" s="59"/>
      <c r="B310" s="64"/>
      <c r="C310" s="81" t="s">
        <v>482</v>
      </c>
      <c r="D310" s="81"/>
      <c r="E310" s="81"/>
      <c r="F310" s="81"/>
      <c r="G310" s="81"/>
      <c r="H310" s="81"/>
      <c r="I310" s="48"/>
      <c r="J310" s="59"/>
      <c r="K310" s="46"/>
      <c r="L310" s="48">
        <f>SUM(AR52:AR302)</f>
        <v>33627.319999999992</v>
      </c>
    </row>
    <row r="311" spans="1:12" ht="14.25" hidden="1">
      <c r="A311" s="59"/>
      <c r="B311" s="64"/>
      <c r="C311" s="81" t="s">
        <v>483</v>
      </c>
      <c r="D311" s="81"/>
      <c r="E311" s="81"/>
      <c r="F311" s="81"/>
      <c r="G311" s="81"/>
      <c r="H311" s="81"/>
      <c r="I311" s="48"/>
      <c r="J311" s="59"/>
      <c r="K311" s="46"/>
      <c r="L311" s="48">
        <f>L313+L316+L315</f>
        <v>8774.5999999999985</v>
      </c>
    </row>
    <row r="312" spans="1:12" ht="14.25" hidden="1">
      <c r="A312" s="59"/>
      <c r="B312" s="64"/>
      <c r="C312" s="86" t="s">
        <v>484</v>
      </c>
      <c r="D312" s="81"/>
      <c r="E312" s="81"/>
      <c r="F312" s="81"/>
      <c r="G312" s="81"/>
      <c r="H312" s="81"/>
      <c r="I312" s="48"/>
      <c r="J312" s="59"/>
      <c r="K312" s="46"/>
      <c r="L312" s="48"/>
    </row>
    <row r="313" spans="1:12" ht="14.25">
      <c r="A313" s="59"/>
      <c r="B313" s="64"/>
      <c r="C313" s="81" t="s">
        <v>483</v>
      </c>
      <c r="D313" s="81"/>
      <c r="E313" s="81"/>
      <c r="F313" s="81"/>
      <c r="G313" s="81"/>
      <c r="H313" s="81"/>
      <c r="I313" s="48"/>
      <c r="J313" s="59"/>
      <c r="K313" s="46"/>
      <c r="L313" s="48">
        <f>SUM(AO52:AO302)</f>
        <v>6613.619999999999</v>
      </c>
    </row>
    <row r="314" spans="1:12" ht="14.25" hidden="1">
      <c r="A314" s="59"/>
      <c r="B314" s="64"/>
      <c r="C314" s="86" t="s">
        <v>485</v>
      </c>
      <c r="D314" s="81"/>
      <c r="E314" s="81"/>
      <c r="F314" s="81"/>
      <c r="G314" s="81"/>
      <c r="H314" s="81"/>
      <c r="I314" s="48"/>
      <c r="J314" s="59"/>
      <c r="K314" s="46"/>
      <c r="L314" s="48"/>
    </row>
    <row r="315" spans="1:12" ht="14.25">
      <c r="A315" s="59"/>
      <c r="B315" s="64"/>
      <c r="C315" s="81" t="s">
        <v>494</v>
      </c>
      <c r="D315" s="81"/>
      <c r="E315" s="81"/>
      <c r="F315" s="81"/>
      <c r="G315" s="81"/>
      <c r="H315" s="81"/>
      <c r="I315" s="48"/>
      <c r="J315" s="59"/>
      <c r="K315" s="46"/>
      <c r="L315" s="48">
        <f>SUM(AT52:AT302)</f>
        <v>2160.98</v>
      </c>
    </row>
    <row r="316" spans="1:12" ht="14.25" hidden="1">
      <c r="A316" s="59"/>
      <c r="B316" s="64"/>
      <c r="C316" s="81" t="s">
        <v>486</v>
      </c>
      <c r="D316" s="81"/>
      <c r="E316" s="81"/>
      <c r="F316" s="81"/>
      <c r="G316" s="81"/>
      <c r="H316" s="81"/>
      <c r="I316" s="48"/>
      <c r="J316" s="59"/>
      <c r="K316" s="46"/>
      <c r="L316" s="48">
        <f>SUM(AV52:AV302)</f>
        <v>0</v>
      </c>
    </row>
    <row r="317" spans="1:12" ht="14.25">
      <c r="A317" s="59"/>
      <c r="B317" s="64"/>
      <c r="C317" s="81" t="s">
        <v>487</v>
      </c>
      <c r="D317" s="81"/>
      <c r="E317" s="81"/>
      <c r="F317" s="81"/>
      <c r="G317" s="81"/>
      <c r="H317" s="81"/>
      <c r="I317" s="48"/>
      <c r="J317" s="59"/>
      <c r="K317" s="46"/>
      <c r="L317" s="48">
        <f>L319+L320</f>
        <v>116276.05</v>
      </c>
    </row>
    <row r="318" spans="1:12" ht="14.25">
      <c r="A318" s="59"/>
      <c r="B318" s="64"/>
      <c r="C318" s="86" t="s">
        <v>484</v>
      </c>
      <c r="D318" s="81"/>
      <c r="E318" s="81"/>
      <c r="F318" s="81"/>
      <c r="G318" s="81"/>
      <c r="H318" s="81"/>
      <c r="I318" s="48"/>
      <c r="J318" s="59"/>
      <c r="K318" s="46"/>
      <c r="L318" s="48"/>
    </row>
    <row r="319" spans="1:12" ht="14.25">
      <c r="A319" s="59"/>
      <c r="B319" s="64"/>
      <c r="C319" s="81" t="s">
        <v>488</v>
      </c>
      <c r="D319" s="81"/>
      <c r="E319" s="81"/>
      <c r="F319" s="81"/>
      <c r="G319" s="81"/>
      <c r="H319" s="81"/>
      <c r="I319" s="48"/>
      <c r="J319" s="59"/>
      <c r="K319" s="46"/>
      <c r="L319" s="48">
        <f>SUM(AW52:AW302)-SUM(BK52:BK302)</f>
        <v>116276.05</v>
      </c>
    </row>
    <row r="320" spans="1:12" ht="14.25" hidden="1">
      <c r="A320" s="59"/>
      <c r="B320" s="64"/>
      <c r="C320" s="81" t="s">
        <v>489</v>
      </c>
      <c r="D320" s="81"/>
      <c r="E320" s="81"/>
      <c r="F320" s="81"/>
      <c r="G320" s="81"/>
      <c r="H320" s="81"/>
      <c r="I320" s="48"/>
      <c r="J320" s="59"/>
      <c r="K320" s="46"/>
      <c r="L320" s="48">
        <f>SUM(BC52:BC302)</f>
        <v>0</v>
      </c>
    </row>
    <row r="321" spans="1:12" ht="14.25">
      <c r="A321" s="59"/>
      <c r="B321" s="64"/>
      <c r="C321" s="81" t="s">
        <v>490</v>
      </c>
      <c r="D321" s="81"/>
      <c r="E321" s="81"/>
      <c r="F321" s="81"/>
      <c r="G321" s="81"/>
      <c r="H321" s="81"/>
      <c r="I321" s="48"/>
      <c r="J321" s="59"/>
      <c r="K321" s="46"/>
      <c r="L321" s="48">
        <f>SUM(BB52:BB302)</f>
        <v>5090.57</v>
      </c>
    </row>
    <row r="322" spans="1:12" ht="14.25">
      <c r="A322" s="59"/>
      <c r="B322" s="64"/>
      <c r="C322" s="81" t="s">
        <v>505</v>
      </c>
      <c r="D322" s="81"/>
      <c r="E322" s="81"/>
      <c r="F322" s="81"/>
      <c r="G322" s="81"/>
      <c r="H322" s="81"/>
      <c r="I322" s="48"/>
      <c r="J322" s="59"/>
      <c r="K322" s="46"/>
      <c r="L322" s="48">
        <f>SUM(AR52:AR302)+SUM(AT52:AT302)+SUM(AV52:AV302)</f>
        <v>35788.299999999996</v>
      </c>
    </row>
    <row r="323" spans="1:12" ht="14.25">
      <c r="A323" s="59"/>
      <c r="B323" s="64"/>
      <c r="C323" s="81" t="s">
        <v>506</v>
      </c>
      <c r="D323" s="81"/>
      <c r="E323" s="81"/>
      <c r="F323" s="81"/>
      <c r="G323" s="81"/>
      <c r="H323" s="81"/>
      <c r="I323" s="48"/>
      <c r="J323" s="59"/>
      <c r="K323" s="46"/>
      <c r="L323" s="48">
        <f>SUM(AZ52:AZ302)</f>
        <v>34324.43</v>
      </c>
    </row>
    <row r="324" spans="1:12" ht="14.25">
      <c r="A324" s="59"/>
      <c r="B324" s="64"/>
      <c r="C324" s="81" t="s">
        <v>507</v>
      </c>
      <c r="D324" s="81"/>
      <c r="E324" s="81"/>
      <c r="F324" s="81"/>
      <c r="G324" s="81"/>
      <c r="H324" s="81"/>
      <c r="I324" s="48"/>
      <c r="J324" s="59"/>
      <c r="K324" s="46"/>
      <c r="L324" s="48">
        <f>SUM(BA52:BA302)</f>
        <v>18630.46</v>
      </c>
    </row>
    <row r="325" spans="1:12" ht="14.25" hidden="1">
      <c r="A325" s="59"/>
      <c r="B325" s="64"/>
      <c r="C325" s="81" t="s">
        <v>508</v>
      </c>
      <c r="D325" s="81"/>
      <c r="E325" s="81"/>
      <c r="F325" s="81"/>
      <c r="G325" s="81"/>
      <c r="H325" s="81"/>
      <c r="I325" s="48"/>
      <c r="J325" s="59"/>
      <c r="K325" s="46"/>
      <c r="L325" s="48">
        <f>L327+L328</f>
        <v>0</v>
      </c>
    </row>
    <row r="326" spans="1:12" ht="14.25" hidden="1">
      <c r="A326" s="59"/>
      <c r="B326" s="64"/>
      <c r="C326" s="86" t="s">
        <v>480</v>
      </c>
      <c r="D326" s="81"/>
      <c r="E326" s="81"/>
      <c r="F326" s="81"/>
      <c r="G326" s="81"/>
      <c r="H326" s="81"/>
      <c r="I326" s="48"/>
      <c r="J326" s="59"/>
      <c r="K326" s="46"/>
      <c r="L326" s="48"/>
    </row>
    <row r="327" spans="1:12" ht="14.25" hidden="1">
      <c r="A327" s="59"/>
      <c r="B327" s="64"/>
      <c r="C327" s="81" t="s">
        <v>497</v>
      </c>
      <c r="D327" s="81"/>
      <c r="E327" s="81"/>
      <c r="F327" s="81"/>
      <c r="G327" s="81"/>
      <c r="H327" s="81"/>
      <c r="I327" s="48"/>
      <c r="J327" s="59"/>
      <c r="K327" s="46"/>
      <c r="L327" s="48">
        <f>SUM(BK52:BK302)</f>
        <v>0</v>
      </c>
    </row>
    <row r="328" spans="1:12" ht="14.25" hidden="1">
      <c r="A328" s="59"/>
      <c r="B328" s="64"/>
      <c r="C328" s="81" t="s">
        <v>498</v>
      </c>
      <c r="D328" s="81"/>
      <c r="E328" s="81"/>
      <c r="F328" s="81"/>
      <c r="G328" s="81"/>
      <c r="H328" s="81"/>
      <c r="I328" s="48"/>
      <c r="J328" s="59"/>
      <c r="K328" s="46"/>
      <c r="L328" s="48">
        <f>SUM(BD52:BD302)</f>
        <v>0</v>
      </c>
    </row>
    <row r="329" spans="1:12" ht="14.25" hidden="1">
      <c r="A329" s="59"/>
      <c r="B329" s="64"/>
      <c r="C329" s="81" t="s">
        <v>509</v>
      </c>
      <c r="D329" s="81"/>
      <c r="E329" s="81"/>
      <c r="F329" s="81"/>
      <c r="G329" s="81"/>
      <c r="H329" s="81"/>
      <c r="I329" s="48"/>
      <c r="J329" s="59"/>
      <c r="K329" s="46"/>
      <c r="L329" s="48">
        <f>L278</f>
        <v>0</v>
      </c>
    </row>
    <row r="330" spans="1:12" ht="14.25">
      <c r="A330" s="59"/>
      <c r="B330" s="64"/>
      <c r="C330" s="84" t="s">
        <v>510</v>
      </c>
      <c r="D330" s="81"/>
      <c r="E330" s="81"/>
      <c r="F330" s="81"/>
      <c r="G330" s="81"/>
      <c r="H330" s="81"/>
      <c r="I330" s="48"/>
      <c r="J330" s="59"/>
      <c r="K330" s="46"/>
      <c r="L330" s="48"/>
    </row>
    <row r="331" spans="1:12" ht="14.25" hidden="1">
      <c r="A331" s="59"/>
      <c r="B331" s="64"/>
      <c r="C331" s="81" t="s">
        <v>511</v>
      </c>
      <c r="D331" s="81"/>
      <c r="E331" s="81"/>
      <c r="F331" s="81"/>
      <c r="G331" s="81"/>
      <c r="H331" s="81"/>
      <c r="I331" s="48"/>
      <c r="J331" s="59"/>
      <c r="K331" s="46"/>
      <c r="L331" s="48">
        <f>SUM(AX52:AX302)</f>
        <v>0</v>
      </c>
    </row>
    <row r="332" spans="1:12" ht="14.25" hidden="1">
      <c r="A332" s="59"/>
      <c r="B332" s="64"/>
      <c r="C332" s="81" t="s">
        <v>512</v>
      </c>
      <c r="D332" s="81"/>
      <c r="E332" s="81"/>
      <c r="F332" s="81"/>
      <c r="G332" s="81"/>
      <c r="H332" s="81"/>
      <c r="I332" s="48"/>
      <c r="J332" s="59"/>
      <c r="K332" s="46"/>
      <c r="L332" s="48">
        <f>SUM(AY52:AY302)</f>
        <v>0</v>
      </c>
    </row>
    <row r="333" spans="1:12" ht="14.25">
      <c r="A333" s="59"/>
      <c r="B333" s="64"/>
      <c r="C333" s="81" t="s">
        <v>513</v>
      </c>
      <c r="D333" s="81"/>
      <c r="E333" s="81"/>
      <c r="F333" s="82"/>
      <c r="G333" s="50">
        <f>Source!F65</f>
        <v>94.508183200000005</v>
      </c>
      <c r="H333" s="59"/>
      <c r="I333" s="59"/>
      <c r="J333" s="59"/>
      <c r="K333" s="59"/>
      <c r="L333" s="59"/>
    </row>
    <row r="334" spans="1:12" ht="14.25">
      <c r="A334" s="59"/>
      <c r="B334" s="64"/>
      <c r="C334" s="81" t="s">
        <v>514</v>
      </c>
      <c r="D334" s="81"/>
      <c r="E334" s="81"/>
      <c r="F334" s="82"/>
      <c r="G334" s="50">
        <f>Source!F66</f>
        <v>4.3895453</v>
      </c>
      <c r="H334" s="59"/>
      <c r="I334" s="59"/>
      <c r="J334" s="59"/>
      <c r="K334" s="59"/>
      <c r="L334" s="59"/>
    </row>
    <row r="338" spans="1:12" ht="14.25" customHeight="1">
      <c r="A338" s="76"/>
      <c r="B338" s="77" t="s">
        <v>515</v>
      </c>
      <c r="C338" s="79" t="s">
        <v>520</v>
      </c>
      <c r="D338" s="35"/>
      <c r="E338" s="35"/>
      <c r="F338" s="35"/>
      <c r="G338" s="35" t="s">
        <v>521</v>
      </c>
      <c r="H338" s="78"/>
      <c r="I338" s="25"/>
      <c r="J338" s="25"/>
      <c r="K338" s="39"/>
      <c r="L338" s="39"/>
    </row>
    <row r="339" spans="1:12" ht="14.25" customHeight="1">
      <c r="A339" s="76"/>
      <c r="B339" s="80"/>
      <c r="C339" s="83" t="s">
        <v>516</v>
      </c>
      <c r="D339" s="83"/>
      <c r="E339" s="83"/>
      <c r="F339" s="83"/>
      <c r="G339" s="83"/>
      <c r="H339" s="25"/>
      <c r="I339" s="25"/>
      <c r="J339" s="25"/>
      <c r="K339" s="39"/>
      <c r="L339" s="39"/>
    </row>
    <row r="340" spans="1:12" ht="14.25" customHeight="1">
      <c r="A340" s="76"/>
      <c r="B340" s="80"/>
      <c r="C340" s="21"/>
      <c r="D340" s="21"/>
      <c r="E340" s="21"/>
      <c r="F340" s="21"/>
      <c r="G340" s="21"/>
      <c r="H340" s="25"/>
      <c r="I340" s="25"/>
      <c r="J340" s="25"/>
      <c r="K340" s="39"/>
      <c r="L340" s="39"/>
    </row>
    <row r="341" spans="1:12" ht="14.25" customHeight="1">
      <c r="A341" s="76"/>
      <c r="B341" s="77" t="s">
        <v>517</v>
      </c>
      <c r="C341" s="79" t="s">
        <v>522</v>
      </c>
      <c r="D341" s="35"/>
      <c r="E341" s="35"/>
      <c r="F341" s="35"/>
      <c r="G341" s="85" t="s">
        <v>523</v>
      </c>
      <c r="H341" s="85"/>
      <c r="I341" s="25"/>
      <c r="J341" s="25"/>
      <c r="K341" s="39"/>
      <c r="L341" s="39"/>
    </row>
    <row r="342" spans="1:12" ht="14.25" customHeight="1">
      <c r="A342" s="21"/>
      <c r="B342" s="21"/>
      <c r="C342" s="83" t="s">
        <v>516</v>
      </c>
      <c r="D342" s="83"/>
      <c r="E342" s="83"/>
      <c r="F342" s="83"/>
      <c r="G342" s="83"/>
      <c r="H342" s="25"/>
      <c r="I342" s="25"/>
      <c r="J342" s="25"/>
      <c r="K342" s="39"/>
      <c r="L342" s="39"/>
    </row>
  </sheetData>
  <mergeCells count="181">
    <mergeCell ref="A6:E6"/>
    <mergeCell ref="F6:L6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C34:L34"/>
    <mergeCell ref="C33:L33"/>
    <mergeCell ref="A28:L28"/>
    <mergeCell ref="A27:L27"/>
    <mergeCell ref="A25:L25"/>
    <mergeCell ref="A23:L23"/>
    <mergeCell ref="A22:L22"/>
    <mergeCell ref="C38:D38"/>
    <mergeCell ref="C41:D41"/>
    <mergeCell ref="C42:D42"/>
    <mergeCell ref="C43:D43"/>
    <mergeCell ref="C44:D44"/>
    <mergeCell ref="C60:H60"/>
    <mergeCell ref="I60:J60"/>
    <mergeCell ref="K60:L60"/>
    <mergeCell ref="C78:H78"/>
    <mergeCell ref="I78:J78"/>
    <mergeCell ref="K78:L78"/>
    <mergeCell ref="A46:A50"/>
    <mergeCell ref="B46:B50"/>
    <mergeCell ref="C46:C50"/>
    <mergeCell ref="D46:D50"/>
    <mergeCell ref="E46:G49"/>
    <mergeCell ref="H46:L49"/>
    <mergeCell ref="C105:H105"/>
    <mergeCell ref="I105:J105"/>
    <mergeCell ref="K105:L105"/>
    <mergeCell ref="C107:L107"/>
    <mergeCell ref="C122:H122"/>
    <mergeCell ref="I122:J122"/>
    <mergeCell ref="K122:L122"/>
    <mergeCell ref="C80:H80"/>
    <mergeCell ref="I80:J80"/>
    <mergeCell ref="K80:L80"/>
    <mergeCell ref="C95:H95"/>
    <mergeCell ref="I95:J95"/>
    <mergeCell ref="K95:L95"/>
    <mergeCell ref="C146:L146"/>
    <mergeCell ref="C147:L147"/>
    <mergeCell ref="C148:F148"/>
    <mergeCell ref="C169:H169"/>
    <mergeCell ref="I169:J169"/>
    <mergeCell ref="K169:L169"/>
    <mergeCell ref="C124:L124"/>
    <mergeCell ref="C125:L125"/>
    <mergeCell ref="C126:F126"/>
    <mergeCell ref="C144:H144"/>
    <mergeCell ref="I144:J144"/>
    <mergeCell ref="K144:L144"/>
    <mergeCell ref="C188:L188"/>
    <mergeCell ref="C189:L189"/>
    <mergeCell ref="C190:F190"/>
    <mergeCell ref="C206:H206"/>
    <mergeCell ref="I206:J206"/>
    <mergeCell ref="K206:L206"/>
    <mergeCell ref="C171:L171"/>
    <mergeCell ref="C172:L172"/>
    <mergeCell ref="C173:F173"/>
    <mergeCell ref="C186:H186"/>
    <mergeCell ref="I186:J186"/>
    <mergeCell ref="K186:L186"/>
    <mergeCell ref="C209:L209"/>
    <mergeCell ref="C208:L208"/>
    <mergeCell ref="C231:H231"/>
    <mergeCell ref="C233:H233"/>
    <mergeCell ref="C234:H234"/>
    <mergeCell ref="C235:H235"/>
    <mergeCell ref="C236:H236"/>
    <mergeCell ref="C237:H237"/>
    <mergeCell ref="C210:F210"/>
    <mergeCell ref="C229:H229"/>
    <mergeCell ref="I229:J229"/>
    <mergeCell ref="K229:L229"/>
    <mergeCell ref="C244:H244"/>
    <mergeCell ref="C245:H245"/>
    <mergeCell ref="C246:H246"/>
    <mergeCell ref="C247:H247"/>
    <mergeCell ref="C248:H248"/>
    <mergeCell ref="C249:H249"/>
    <mergeCell ref="C238:H238"/>
    <mergeCell ref="C239:H239"/>
    <mergeCell ref="C240:H240"/>
    <mergeCell ref="C241:H241"/>
    <mergeCell ref="C242:H242"/>
    <mergeCell ref="C243:H243"/>
    <mergeCell ref="C257:H257"/>
    <mergeCell ref="C258:H258"/>
    <mergeCell ref="C259:H259"/>
    <mergeCell ref="C260:H260"/>
    <mergeCell ref="C261:H261"/>
    <mergeCell ref="C262:H262"/>
    <mergeCell ref="C250:H250"/>
    <mergeCell ref="C251:H251"/>
    <mergeCell ref="C253:H253"/>
    <mergeCell ref="C254:H254"/>
    <mergeCell ref="C255:H255"/>
    <mergeCell ref="C256:H256"/>
    <mergeCell ref="C269:H269"/>
    <mergeCell ref="C270:H270"/>
    <mergeCell ref="C271:H271"/>
    <mergeCell ref="C273:H273"/>
    <mergeCell ref="C274:H274"/>
    <mergeCell ref="C275:H275"/>
    <mergeCell ref="C263:H263"/>
    <mergeCell ref="C264:H264"/>
    <mergeCell ref="C265:H265"/>
    <mergeCell ref="C266:H266"/>
    <mergeCell ref="C267:H267"/>
    <mergeCell ref="C268:H268"/>
    <mergeCell ref="C283:H283"/>
    <mergeCell ref="C284:H284"/>
    <mergeCell ref="C285:H285"/>
    <mergeCell ref="C286:H286"/>
    <mergeCell ref="C287:H287"/>
    <mergeCell ref="C288:H288"/>
    <mergeCell ref="C276:H276"/>
    <mergeCell ref="C278:H278"/>
    <mergeCell ref="C279:H279"/>
    <mergeCell ref="C280:H280"/>
    <mergeCell ref="C281:H281"/>
    <mergeCell ref="C282:H282"/>
    <mergeCell ref="C295:H295"/>
    <mergeCell ref="C296:H296"/>
    <mergeCell ref="C297:H297"/>
    <mergeCell ref="C298:H298"/>
    <mergeCell ref="C299:H299"/>
    <mergeCell ref="C300:H300"/>
    <mergeCell ref="C289:H289"/>
    <mergeCell ref="C290:H290"/>
    <mergeCell ref="C291:H291"/>
    <mergeCell ref="C292:H292"/>
    <mergeCell ref="C293:H293"/>
    <mergeCell ref="C294:H294"/>
    <mergeCell ref="C310:H310"/>
    <mergeCell ref="C311:H311"/>
    <mergeCell ref="C312:H312"/>
    <mergeCell ref="C313:H313"/>
    <mergeCell ref="C314:H314"/>
    <mergeCell ref="C315:H315"/>
    <mergeCell ref="C301:H301"/>
    <mergeCell ref="C302:H302"/>
    <mergeCell ref="C304:H304"/>
    <mergeCell ref="C307:H307"/>
    <mergeCell ref="C308:H308"/>
    <mergeCell ref="C309:H309"/>
    <mergeCell ref="C322:H322"/>
    <mergeCell ref="C323:H323"/>
    <mergeCell ref="C324:H324"/>
    <mergeCell ref="C325:H325"/>
    <mergeCell ref="C326:H326"/>
    <mergeCell ref="C327:H327"/>
    <mergeCell ref="C316:H316"/>
    <mergeCell ref="C317:H317"/>
    <mergeCell ref="C318:H318"/>
    <mergeCell ref="C319:H319"/>
    <mergeCell ref="C320:H320"/>
    <mergeCell ref="C321:H321"/>
    <mergeCell ref="C334:F334"/>
    <mergeCell ref="C339:G339"/>
    <mergeCell ref="C342:G342"/>
    <mergeCell ref="C328:H328"/>
    <mergeCell ref="C329:H329"/>
    <mergeCell ref="C330:H330"/>
    <mergeCell ref="C331:H331"/>
    <mergeCell ref="C332:H332"/>
    <mergeCell ref="C333:F333"/>
    <mergeCell ref="G341:H341"/>
  </mergeCells>
  <pageMargins left="0.4" right="0.2" top="0.2" bottom="0.4" header="0.2" footer="0.2"/>
  <pageSetup paperSize="9" scale="45" fitToHeight="0" orientation="portrait" verticalDpi="1200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U136"/>
  <sheetViews>
    <sheetView workbookViewId="0">
      <selection activeCell="N18" sqref="N18"/>
    </sheetView>
  </sheetViews>
  <sheetFormatPr defaultColWidth="9.140625" defaultRowHeight="12.75"/>
  <cols>
    <col min="1" max="256" width="9.140625" customWidth="1"/>
  </cols>
  <sheetData>
    <row r="1" spans="1:133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51908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33">
      <c r="A12" s="1">
        <v>1</v>
      </c>
      <c r="B12" s="1">
        <v>130</v>
      </c>
      <c r="C12" s="1">
        <v>0</v>
      </c>
      <c r="D12" s="1">
        <f>ROW(A73)</f>
        <v>73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46161</v>
      </c>
      <c r="CT12" s="1">
        <v>567</v>
      </c>
      <c r="CU12" s="1">
        <v>18</v>
      </c>
      <c r="CV12" s="1" t="s">
        <v>379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>
      <c r="A18" s="3">
        <v>52</v>
      </c>
      <c r="B18" s="3">
        <f t="shared" ref="B18:G18" si="0">B73</f>
        <v>130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объект_(Копия)_(Копия)</v>
      </c>
      <c r="G18" s="3" t="str">
        <f t="shared" si="0"/>
        <v>Капитальный ремонт овощехранилища (устройство отмостки) ИК-7 (овощехранилище 2026 год)</v>
      </c>
      <c r="H18" s="3"/>
      <c r="I18" s="3"/>
      <c r="J18" s="3"/>
      <c r="K18" s="3"/>
      <c r="L18" s="3"/>
      <c r="M18" s="3"/>
      <c r="N18" s="3"/>
      <c r="O18" s="3">
        <f t="shared" ref="O18:AT18" si="1">O73</f>
        <v>158677.97</v>
      </c>
      <c r="P18" s="3">
        <f t="shared" si="1"/>
        <v>116276.05</v>
      </c>
      <c r="Q18" s="3">
        <f t="shared" si="1"/>
        <v>6613.62</v>
      </c>
      <c r="R18" s="3">
        <f t="shared" si="1"/>
        <v>2160.98</v>
      </c>
      <c r="S18" s="3">
        <f t="shared" si="1"/>
        <v>33627.32</v>
      </c>
      <c r="T18" s="3">
        <f t="shared" si="1"/>
        <v>0</v>
      </c>
      <c r="U18" s="3">
        <f t="shared" si="1"/>
        <v>94.508183200000005</v>
      </c>
      <c r="V18" s="3">
        <f t="shared" si="1"/>
        <v>4.3895453</v>
      </c>
      <c r="W18" s="3">
        <f t="shared" si="1"/>
        <v>0</v>
      </c>
      <c r="X18" s="3">
        <f t="shared" si="1"/>
        <v>34324.43</v>
      </c>
      <c r="Y18" s="3">
        <f t="shared" si="1"/>
        <v>18630.46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216723.43</v>
      </c>
      <c r="AS18" s="3">
        <f t="shared" si="1"/>
        <v>216723.43</v>
      </c>
      <c r="AT18" s="3">
        <f t="shared" si="1"/>
        <v>0</v>
      </c>
      <c r="AU18" s="3">
        <f t="shared" ref="AU18:BZ18" si="2">AU73</f>
        <v>0</v>
      </c>
      <c r="AV18" s="3">
        <f t="shared" si="2"/>
        <v>116276.05</v>
      </c>
      <c r="AW18" s="3">
        <f t="shared" si="2"/>
        <v>116276.05</v>
      </c>
      <c r="AX18" s="3">
        <f t="shared" si="2"/>
        <v>0</v>
      </c>
      <c r="AY18" s="3">
        <f t="shared" si="2"/>
        <v>116276.05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5090.57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CA73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DG73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EM73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FS73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>
      <c r="A20" s="1">
        <v>3</v>
      </c>
      <c r="B20" s="1">
        <v>1</v>
      </c>
      <c r="C20" s="1"/>
      <c r="D20" s="1">
        <f>ROW(A43)</f>
        <v>43</v>
      </c>
      <c r="E20" s="1"/>
      <c r="F20" s="1" t="s">
        <v>14</v>
      </c>
      <c r="G20" s="1" t="s">
        <v>14</v>
      </c>
      <c r="H20" s="1" t="s">
        <v>3</v>
      </c>
      <c r="I20" s="1">
        <v>0</v>
      </c>
      <c r="J20" s="1" t="s">
        <v>3</v>
      </c>
      <c r="K20" s="1">
        <v>0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>
      <c r="A22" s="3">
        <v>52</v>
      </c>
      <c r="B22" s="3">
        <f t="shared" ref="B22:G22" si="7">B43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Новая локальная смета</v>
      </c>
      <c r="G22" s="3" t="str">
        <f t="shared" si="7"/>
        <v>Новая локальная смета</v>
      </c>
      <c r="H22" s="3"/>
      <c r="I22" s="3"/>
      <c r="J22" s="3"/>
      <c r="K22" s="3"/>
      <c r="L22" s="3"/>
      <c r="M22" s="3"/>
      <c r="N22" s="3"/>
      <c r="O22" s="3">
        <f t="shared" ref="O22:AT22" si="8">O43</f>
        <v>158677.97</v>
      </c>
      <c r="P22" s="3">
        <f t="shared" si="8"/>
        <v>116276.05</v>
      </c>
      <c r="Q22" s="3">
        <f t="shared" si="8"/>
        <v>6613.62</v>
      </c>
      <c r="R22" s="3">
        <f t="shared" si="8"/>
        <v>2160.98</v>
      </c>
      <c r="S22" s="3">
        <f t="shared" si="8"/>
        <v>33627.32</v>
      </c>
      <c r="T22" s="3">
        <f t="shared" si="8"/>
        <v>0</v>
      </c>
      <c r="U22" s="3">
        <f t="shared" si="8"/>
        <v>94.508183200000005</v>
      </c>
      <c r="V22" s="3">
        <f t="shared" si="8"/>
        <v>4.3895453</v>
      </c>
      <c r="W22" s="3">
        <f t="shared" si="8"/>
        <v>0</v>
      </c>
      <c r="X22" s="3">
        <f t="shared" si="8"/>
        <v>34324.43</v>
      </c>
      <c r="Y22" s="3">
        <f t="shared" si="8"/>
        <v>18630.46</v>
      </c>
      <c r="Z22" s="3">
        <f t="shared" si="8"/>
        <v>0</v>
      </c>
      <c r="AA22" s="3">
        <f t="shared" si="8"/>
        <v>0</v>
      </c>
      <c r="AB22" s="3">
        <f t="shared" si="8"/>
        <v>158677.97</v>
      </c>
      <c r="AC22" s="3">
        <f t="shared" si="8"/>
        <v>116276.05</v>
      </c>
      <c r="AD22" s="3">
        <f t="shared" si="8"/>
        <v>6613.62</v>
      </c>
      <c r="AE22" s="3">
        <f t="shared" si="8"/>
        <v>2160.98</v>
      </c>
      <c r="AF22" s="3">
        <f t="shared" si="8"/>
        <v>33627.32</v>
      </c>
      <c r="AG22" s="3">
        <f t="shared" si="8"/>
        <v>0</v>
      </c>
      <c r="AH22" s="3">
        <f t="shared" si="8"/>
        <v>94.508183200000005</v>
      </c>
      <c r="AI22" s="3">
        <f t="shared" si="8"/>
        <v>4.3895453</v>
      </c>
      <c r="AJ22" s="3">
        <f t="shared" si="8"/>
        <v>0</v>
      </c>
      <c r="AK22" s="3">
        <f t="shared" si="8"/>
        <v>34324.43</v>
      </c>
      <c r="AL22" s="3">
        <f t="shared" si="8"/>
        <v>18630.46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216723.43</v>
      </c>
      <c r="AS22" s="3">
        <f t="shared" si="8"/>
        <v>216723.43</v>
      </c>
      <c r="AT22" s="3">
        <f t="shared" si="8"/>
        <v>0</v>
      </c>
      <c r="AU22" s="3">
        <f t="shared" ref="AU22:BZ22" si="9">AU43</f>
        <v>0</v>
      </c>
      <c r="AV22" s="3">
        <f t="shared" si="9"/>
        <v>116276.05</v>
      </c>
      <c r="AW22" s="3">
        <f t="shared" si="9"/>
        <v>116276.05</v>
      </c>
      <c r="AX22" s="3">
        <f t="shared" si="9"/>
        <v>0</v>
      </c>
      <c r="AY22" s="3">
        <f t="shared" si="9"/>
        <v>116276.05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5090.57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CA43</f>
        <v>216723.43</v>
      </c>
      <c r="CB22" s="3">
        <f t="shared" si="10"/>
        <v>216723.43</v>
      </c>
      <c r="CC22" s="3">
        <f t="shared" si="10"/>
        <v>0</v>
      </c>
      <c r="CD22" s="3">
        <f t="shared" si="10"/>
        <v>0</v>
      </c>
      <c r="CE22" s="3">
        <f t="shared" si="10"/>
        <v>116276.05</v>
      </c>
      <c r="CF22" s="3">
        <f t="shared" si="10"/>
        <v>116276.05</v>
      </c>
      <c r="CG22" s="3">
        <f t="shared" si="10"/>
        <v>0</v>
      </c>
      <c r="CH22" s="3">
        <f t="shared" si="10"/>
        <v>116276.05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5090.57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DG43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EM43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FS43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>
      <c r="A24" s="2">
        <v>17</v>
      </c>
      <c r="B24" s="2">
        <v>1</v>
      </c>
      <c r="C24" s="2">
        <f>ROW(SmtRes!A1)</f>
        <v>1</v>
      </c>
      <c r="D24" s="2">
        <f>ROW(EtalonRes!A1)</f>
        <v>1</v>
      </c>
      <c r="E24" s="2" t="s">
        <v>15</v>
      </c>
      <c r="F24" s="2" t="s">
        <v>16</v>
      </c>
      <c r="G24" s="2" t="s">
        <v>17</v>
      </c>
      <c r="H24" s="2" t="s">
        <v>18</v>
      </c>
      <c r="I24" s="2">
        <f>ROUND(112/100,7)</f>
        <v>1.1200000000000001</v>
      </c>
      <c r="J24" s="2">
        <v>0</v>
      </c>
      <c r="K24" s="2">
        <f>ROUND(112/100,7)</f>
        <v>1.1200000000000001</v>
      </c>
      <c r="L24" s="2"/>
      <c r="M24" s="2"/>
      <c r="N24" s="2"/>
      <c r="O24" s="2">
        <f>ROUND(CP24,2)</f>
        <v>1103.42</v>
      </c>
      <c r="P24" s="2">
        <f>SUMIF(SmtRes!AQ1:'SmtRes'!AQ1,"=1",SmtRes!DF1:'SmtRes'!DF1)</f>
        <v>0</v>
      </c>
      <c r="Q24" s="2">
        <f>SUMIF(SmtRes!AQ1:'SmtRes'!AQ1,"=1",SmtRes!DG1:'SmtRes'!DG1)</f>
        <v>0</v>
      </c>
      <c r="R24" s="2">
        <f>SUMIF(SmtRes!AQ1:'SmtRes'!AQ1,"=1",SmtRes!DH1:'SmtRes'!DH1)</f>
        <v>0</v>
      </c>
      <c r="S24" s="2">
        <f>SUMIF(SmtRes!AQ1:'SmtRes'!AQ1,"=1",SmtRes!DI1:'SmtRes'!DI1)</f>
        <v>1103.42</v>
      </c>
      <c r="T24" s="2">
        <f>ROUND(CU24*I24,2)</f>
        <v>0</v>
      </c>
      <c r="U24" s="2">
        <f>SUMIF(SmtRes!AQ1:'SmtRes'!AQ1,"=1",SmtRes!CV1:'SmtRes'!CV1)</f>
        <v>3.2928000000000002</v>
      </c>
      <c r="V24" s="2">
        <f>SUMIF(SmtRes!AQ1:'SmtRes'!AQ1,"=1",SmtRes!CW1:'SmtRes'!CW1)</f>
        <v>0</v>
      </c>
      <c r="W24" s="2">
        <f>ROUND(CX24*I24,2)</f>
        <v>0</v>
      </c>
      <c r="X24" s="2">
        <f>ROUND(CY24,2)</f>
        <v>1125.49</v>
      </c>
      <c r="Y24" s="2">
        <f>ROUND(CZ24,2)</f>
        <v>595.85</v>
      </c>
      <c r="Z24" s="2"/>
      <c r="AA24" s="2">
        <v>46261364</v>
      </c>
      <c r="AB24" s="2">
        <f>ROUND((AC24+AD24+AF24),6)</f>
        <v>985.19399999999996</v>
      </c>
      <c r="AC24" s="2">
        <f>ROUND((0),6)</f>
        <v>0</v>
      </c>
      <c r="AD24" s="2">
        <f>ROUND((((0)-(0))+AE24),6)</f>
        <v>0</v>
      </c>
      <c r="AE24" s="2">
        <f>ROUND((0),6)</f>
        <v>0</v>
      </c>
      <c r="AF24" s="2">
        <f>ROUND((SUM(SmtRes!BT1:'SmtRes'!BT1)),6)</f>
        <v>985.19399999999996</v>
      </c>
      <c r="AG24" s="2">
        <f>ROUND((AP24),6)</f>
        <v>0</v>
      </c>
      <c r="AH24" s="2">
        <f>(SUM(SmtRes!BU1:'SmtRes'!BU1))</f>
        <v>2.94</v>
      </c>
      <c r="AI24" s="2">
        <f>(0)</f>
        <v>0</v>
      </c>
      <c r="AJ24" s="2">
        <f>(AS24)</f>
        <v>0</v>
      </c>
      <c r="AK24" s="2">
        <v>985.19400000000007</v>
      </c>
      <c r="AL24" s="2">
        <v>0</v>
      </c>
      <c r="AM24" s="2">
        <v>0</v>
      </c>
      <c r="AN24" s="2">
        <v>0</v>
      </c>
      <c r="AO24" s="2">
        <v>985.19400000000007</v>
      </c>
      <c r="AP24" s="2">
        <v>0</v>
      </c>
      <c r="AQ24" s="2">
        <v>2.94</v>
      </c>
      <c r="AR24" s="2">
        <v>0</v>
      </c>
      <c r="AS24" s="2">
        <v>0</v>
      </c>
      <c r="AT24" s="2">
        <v>102</v>
      </c>
      <c r="AU24" s="2">
        <v>54</v>
      </c>
      <c r="AV24" s="2">
        <v>1</v>
      </c>
      <c r="AW24" s="2">
        <v>1</v>
      </c>
      <c r="AX24" s="2"/>
      <c r="AY24" s="2"/>
      <c r="AZ24" s="2">
        <v>1</v>
      </c>
      <c r="BA24" s="2">
        <v>1</v>
      </c>
      <c r="BB24" s="2">
        <v>1</v>
      </c>
      <c r="BC24" s="2">
        <v>1</v>
      </c>
      <c r="BD24" s="2" t="s">
        <v>3</v>
      </c>
      <c r="BE24" s="2" t="s">
        <v>3</v>
      </c>
      <c r="BF24" s="2" t="s">
        <v>3</v>
      </c>
      <c r="BG24" s="2" t="s">
        <v>3</v>
      </c>
      <c r="BH24" s="2">
        <v>0</v>
      </c>
      <c r="BI24" s="2">
        <v>1</v>
      </c>
      <c r="BJ24" s="2" t="s">
        <v>19</v>
      </c>
      <c r="BK24" s="2"/>
      <c r="BL24" s="2"/>
      <c r="BM24" s="2">
        <v>68001</v>
      </c>
      <c r="BN24" s="2">
        <v>0</v>
      </c>
      <c r="BO24" s="2" t="s">
        <v>3</v>
      </c>
      <c r="BP24" s="2">
        <v>0</v>
      </c>
      <c r="BQ24" s="2">
        <v>6</v>
      </c>
      <c r="BR24" s="2">
        <v>0</v>
      </c>
      <c r="BS24" s="2">
        <v>1</v>
      </c>
      <c r="BT24" s="2">
        <v>1</v>
      </c>
      <c r="BU24" s="2">
        <v>1</v>
      </c>
      <c r="BV24" s="2">
        <v>1</v>
      </c>
      <c r="BW24" s="2">
        <v>1</v>
      </c>
      <c r="BX24" s="2">
        <v>1</v>
      </c>
      <c r="BY24" s="2" t="s">
        <v>3</v>
      </c>
      <c r="BZ24" s="2">
        <v>102</v>
      </c>
      <c r="CA24" s="2">
        <v>54</v>
      </c>
      <c r="CB24" s="2" t="s">
        <v>3</v>
      </c>
      <c r="CC24" s="2"/>
      <c r="CD24" s="2"/>
      <c r="CE24" s="2">
        <v>0</v>
      </c>
      <c r="CF24" s="2">
        <v>0</v>
      </c>
      <c r="CG24" s="2">
        <v>0</v>
      </c>
      <c r="CH24" s="2"/>
      <c r="CI24" s="2"/>
      <c r="CJ24" s="2"/>
      <c r="CK24" s="2"/>
      <c r="CL24" s="2"/>
      <c r="CM24" s="2">
        <v>0</v>
      </c>
      <c r="CN24" s="2" t="s">
        <v>3</v>
      </c>
      <c r="CO24" s="2">
        <v>0</v>
      </c>
      <c r="CP24" s="2">
        <f>(P24+Q24+S24+R24)</f>
        <v>1103.42</v>
      </c>
      <c r="CQ24" s="2">
        <f>SUMIF(SmtRes!AQ1:'SmtRes'!AQ1,"=1",SmtRes!AA1:'SmtRes'!AA1)</f>
        <v>0</v>
      </c>
      <c r="CR24" s="2">
        <f>SUMIF(SmtRes!AQ1:'SmtRes'!AQ1,"=1",SmtRes!AB1:'SmtRes'!AB1)</f>
        <v>0</v>
      </c>
      <c r="CS24" s="2">
        <f>SUMIF(SmtRes!AQ1:'SmtRes'!AQ1,"=1",SmtRes!AC1:'SmtRes'!AC1)</f>
        <v>0</v>
      </c>
      <c r="CT24" s="2">
        <f>SUMIF(SmtRes!AQ1:'SmtRes'!AQ1,"=1",SmtRes!AD1:'SmtRes'!AD1)</f>
        <v>335.1</v>
      </c>
      <c r="CU24" s="2">
        <f>AG24</f>
        <v>0</v>
      </c>
      <c r="CV24" s="2">
        <f>SUMIF(SmtRes!AQ1:'SmtRes'!AQ1,"=1",SmtRes!BU1:'SmtRes'!BU1)</f>
        <v>2.94</v>
      </c>
      <c r="CW24" s="2">
        <f>SUMIF(SmtRes!AQ1:'SmtRes'!AQ1,"=1",SmtRes!BV1:'SmtRes'!BV1)</f>
        <v>0</v>
      </c>
      <c r="CX24" s="2">
        <f>AJ24</f>
        <v>0</v>
      </c>
      <c r="CY24" s="2">
        <f>(((S24+R24)*AT24)/100)</f>
        <v>1125.4884000000002</v>
      </c>
      <c r="CZ24" s="2">
        <f>(((S24+R24)*AU24)/100)</f>
        <v>595.84680000000003</v>
      </c>
      <c r="DA24" s="2"/>
      <c r="DB24" s="2"/>
      <c r="DC24" s="2" t="s">
        <v>3</v>
      </c>
      <c r="DD24" s="2" t="s">
        <v>3</v>
      </c>
      <c r="DE24" s="2" t="s">
        <v>3</v>
      </c>
      <c r="DF24" s="2" t="s">
        <v>3</v>
      </c>
      <c r="DG24" s="2" t="s">
        <v>3</v>
      </c>
      <c r="DH24" s="2" t="s">
        <v>3</v>
      </c>
      <c r="DI24" s="2" t="s">
        <v>3</v>
      </c>
      <c r="DJ24" s="2" t="s">
        <v>3</v>
      </c>
      <c r="DK24" s="2" t="s">
        <v>3</v>
      </c>
      <c r="DL24" s="2" t="s">
        <v>3</v>
      </c>
      <c r="DM24" s="2" t="s">
        <v>3</v>
      </c>
      <c r="DN24" s="2">
        <v>0</v>
      </c>
      <c r="DO24" s="2">
        <v>0</v>
      </c>
      <c r="DP24" s="2">
        <v>1</v>
      </c>
      <c r="DQ24" s="2">
        <v>1</v>
      </c>
      <c r="DR24" s="2"/>
      <c r="DS24" s="2"/>
      <c r="DT24" s="2"/>
      <c r="DU24" s="2">
        <v>1005</v>
      </c>
      <c r="DV24" s="2" t="s">
        <v>18</v>
      </c>
      <c r="DW24" s="2" t="s">
        <v>18</v>
      </c>
      <c r="DX24" s="2">
        <v>100</v>
      </c>
      <c r="DY24" s="2"/>
      <c r="DZ24" s="2" t="s">
        <v>3</v>
      </c>
      <c r="EA24" s="2" t="s">
        <v>3</v>
      </c>
      <c r="EB24" s="2" t="s">
        <v>3</v>
      </c>
      <c r="EC24" s="2" t="s">
        <v>3</v>
      </c>
      <c r="ED24" s="2"/>
      <c r="EE24" s="2">
        <v>44474141</v>
      </c>
      <c r="EF24" s="2">
        <v>6</v>
      </c>
      <c r="EG24" s="2" t="s">
        <v>20</v>
      </c>
      <c r="EH24" s="2">
        <v>102</v>
      </c>
      <c r="EI24" s="2" t="s">
        <v>21</v>
      </c>
      <c r="EJ24" s="2">
        <v>1</v>
      </c>
      <c r="EK24" s="2">
        <v>68001</v>
      </c>
      <c r="EL24" s="2" t="s">
        <v>21</v>
      </c>
      <c r="EM24" s="2" t="s">
        <v>22</v>
      </c>
      <c r="EN24" s="2"/>
      <c r="EO24" s="2" t="s">
        <v>3</v>
      </c>
      <c r="EP24" s="2"/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2.94</v>
      </c>
      <c r="EX24" s="2">
        <v>0</v>
      </c>
      <c r="EY24" s="2">
        <v>0</v>
      </c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>
        <v>0</v>
      </c>
      <c r="FR24" s="2">
        <v>0</v>
      </c>
      <c r="FS24" s="2">
        <v>0</v>
      </c>
      <c r="FT24" s="2"/>
      <c r="FU24" s="2"/>
      <c r="FV24" s="2"/>
      <c r="FW24" s="2"/>
      <c r="FX24" s="2">
        <v>102</v>
      </c>
      <c r="FY24" s="2">
        <v>54</v>
      </c>
      <c r="FZ24" s="2"/>
      <c r="GA24" s="2" t="s">
        <v>3</v>
      </c>
      <c r="GB24" s="2"/>
      <c r="GC24" s="2"/>
      <c r="GD24" s="2">
        <v>1</v>
      </c>
      <c r="GE24" s="2"/>
      <c r="GF24" s="2">
        <v>1690201021</v>
      </c>
      <c r="GG24" s="2">
        <v>2</v>
      </c>
      <c r="GH24" s="2">
        <v>1</v>
      </c>
      <c r="GI24" s="2">
        <v>-2</v>
      </c>
      <c r="GJ24" s="2">
        <v>0</v>
      </c>
      <c r="GK24" s="2">
        <v>0</v>
      </c>
      <c r="GL24" s="2">
        <f t="shared" ref="GL24:GL41" si="14">ROUND(IF(AND(BH24=3,BI24=3,FS24&lt;&gt;0),P24,0),2)</f>
        <v>0</v>
      </c>
      <c r="GM24" s="2">
        <f>ROUND(O24+X24+Y24,2)+GX24</f>
        <v>2824.76</v>
      </c>
      <c r="GN24" s="2">
        <f t="shared" ref="GN24:GN41" si="15">IF(OR(BI24=0,BI24=1),GM24-GX24,0)</f>
        <v>2824.76</v>
      </c>
      <c r="GO24" s="2">
        <f t="shared" ref="GO24:GO41" si="16">IF(BI24=2,GM24-GX24,0)</f>
        <v>0</v>
      </c>
      <c r="GP24" s="2">
        <f t="shared" ref="GP24:GP41" si="17">IF(BI24=4,GM24-GX24,0)</f>
        <v>0</v>
      </c>
      <c r="GQ24" s="2"/>
      <c r="GR24" s="2">
        <v>0</v>
      </c>
      <c r="GS24" s="2">
        <v>3</v>
      </c>
      <c r="GT24" s="2">
        <v>0</v>
      </c>
      <c r="GU24" s="2" t="s">
        <v>3</v>
      </c>
      <c r="GV24" s="2">
        <f>ROUND((GT24),6)</f>
        <v>0</v>
      </c>
      <c r="GW24" s="2">
        <v>1</v>
      </c>
      <c r="GX24" s="2">
        <f>ROUND(HC24*I24,2)</f>
        <v>0</v>
      </c>
      <c r="GY24" s="2"/>
      <c r="GZ24" s="2"/>
      <c r="HA24" s="2">
        <v>0</v>
      </c>
      <c r="HB24" s="2">
        <v>0</v>
      </c>
      <c r="HC24" s="2">
        <f>GV24*GW24</f>
        <v>0</v>
      </c>
      <c r="HD24" s="2"/>
      <c r="HE24" s="2" t="s">
        <v>3</v>
      </c>
      <c r="HF24" s="2" t="s">
        <v>3</v>
      </c>
      <c r="HG24" s="2"/>
      <c r="HH24" s="2"/>
      <c r="HI24" s="2"/>
      <c r="HJ24" s="2"/>
      <c r="HK24" s="2"/>
      <c r="HL24" s="2"/>
      <c r="HM24" s="2" t="s">
        <v>3</v>
      </c>
      <c r="HN24" s="2" t="s">
        <v>23</v>
      </c>
      <c r="HO24" s="2" t="s">
        <v>24</v>
      </c>
      <c r="HP24" s="2" t="s">
        <v>21</v>
      </c>
      <c r="HQ24" s="2" t="s">
        <v>21</v>
      </c>
      <c r="HR24" s="2"/>
      <c r="HS24" s="2">
        <v>0</v>
      </c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>
        <v>0</v>
      </c>
      <c r="IL24" s="2"/>
      <c r="IM24" s="2"/>
      <c r="IN24" s="2"/>
      <c r="IO24" s="2"/>
      <c r="IP24" s="2"/>
      <c r="IQ24" s="2"/>
      <c r="IR24" s="2"/>
      <c r="IS24" s="2"/>
      <c r="IT24" s="2"/>
      <c r="IU24" s="2"/>
    </row>
    <row r="25" spans="1:255">
      <c r="A25" s="2">
        <v>17</v>
      </c>
      <c r="B25" s="2">
        <v>1</v>
      </c>
      <c r="C25" s="2">
        <f>ROW(SmtRes!A6)</f>
        <v>6</v>
      </c>
      <c r="D25" s="2">
        <f>ROW(EtalonRes!A6)</f>
        <v>6</v>
      </c>
      <c r="E25" s="2" t="s">
        <v>25</v>
      </c>
      <c r="F25" s="2" t="s">
        <v>26</v>
      </c>
      <c r="G25" s="2" t="s">
        <v>27</v>
      </c>
      <c r="H25" s="2" t="s">
        <v>28</v>
      </c>
      <c r="I25" s="2">
        <f>ROUND(33.6/1000,7)</f>
        <v>3.3599999999999998E-2</v>
      </c>
      <c r="J25" s="2">
        <v>0</v>
      </c>
      <c r="K25" s="2">
        <f>ROUND(33.6/1000,7)</f>
        <v>3.3599999999999998E-2</v>
      </c>
      <c r="L25" s="2"/>
      <c r="M25" s="2"/>
      <c r="N25" s="2"/>
      <c r="O25" s="2">
        <f>ROUND(CP25,2)</f>
        <v>1892.38</v>
      </c>
      <c r="P25" s="2">
        <f>SUMIF(SmtRes!AQ2:'SmtRes'!AQ6,"=1",SmtRes!DF2:'SmtRes'!DF6)</f>
        <v>5.43</v>
      </c>
      <c r="Q25" s="2">
        <f>SUMIF(SmtRes!AQ2:'SmtRes'!AQ6,"=1",SmtRes!DG2:'SmtRes'!DG6)</f>
        <v>1351.15</v>
      </c>
      <c r="R25" s="2">
        <f>SUMIF(SmtRes!AQ2:'SmtRes'!AQ6,"=1",SmtRes!DH2:'SmtRes'!DH6)</f>
        <v>443.21</v>
      </c>
      <c r="S25" s="2">
        <f>SUMIF(SmtRes!AQ2:'SmtRes'!AQ6,"=1",SmtRes!DI2:'SmtRes'!DI6)</f>
        <v>92.59</v>
      </c>
      <c r="T25" s="2">
        <f>ROUND(CU25*I25,2)</f>
        <v>0</v>
      </c>
      <c r="U25" s="2">
        <f>SUMIF(SmtRes!AQ2:'SmtRes'!AQ6,"=1",SmtRes!CV2:'SmtRes'!CV6)</f>
        <v>0.28895999999999999</v>
      </c>
      <c r="V25" s="2">
        <f>SUMIF(SmtRes!AQ2:'SmtRes'!AQ6,"=1",SmtRes!CW2:'SmtRes'!CW6)</f>
        <v>0.83764799999999995</v>
      </c>
      <c r="W25" s="2">
        <f>ROUND(CX25*I25,2)</f>
        <v>0</v>
      </c>
      <c r="X25" s="2">
        <f>ROUND(CY25,2)</f>
        <v>492.94</v>
      </c>
      <c r="Y25" s="2">
        <f>ROUND(CZ25,2)</f>
        <v>246.47</v>
      </c>
      <c r="Z25" s="2"/>
      <c r="AA25" s="2">
        <v>46261364</v>
      </c>
      <c r="AB25" s="2">
        <f>ROUND((AC25+AD25+AF25),6)</f>
        <v>40865.737200000003</v>
      </c>
      <c r="AC25" s="2">
        <f>ROUND((SUM(SmtRes!BQ2:'SmtRes'!BQ6)),6)</f>
        <v>109.22199999999999</v>
      </c>
      <c r="AD25" s="2">
        <f>ROUND((((SUM(SmtRes!BR2:'SmtRes'!BR6))-(SUM(SmtRes!BS2:'SmtRes'!BS6)))+AE25),6)</f>
        <v>38000.989200000004</v>
      </c>
      <c r="AE25" s="2">
        <f>ROUND((SUM(SmtRes!BS2:'SmtRes'!BS6)),6)</f>
        <v>13190.712299999999</v>
      </c>
      <c r="AF25" s="2">
        <f>ROUND((SUM(SmtRes!BT2:'SmtRes'!BT6)),6)</f>
        <v>2755.5259999999998</v>
      </c>
      <c r="AG25" s="2">
        <f>ROUND((AP25),6)</f>
        <v>0</v>
      </c>
      <c r="AH25" s="2">
        <f>(SUM(SmtRes!BU2:'SmtRes'!BU6))</f>
        <v>8.6</v>
      </c>
      <c r="AI25" s="2">
        <f>(SUM(SmtRes!BV2:'SmtRes'!BV6))</f>
        <v>24.93</v>
      </c>
      <c r="AJ25" s="2">
        <f>(AS25)</f>
        <v>0</v>
      </c>
      <c r="AK25" s="2">
        <v>54056.449499999995</v>
      </c>
      <c r="AL25" s="2">
        <v>109.22200000000001</v>
      </c>
      <c r="AM25" s="2">
        <v>38000.989199999996</v>
      </c>
      <c r="AN25" s="2">
        <v>13190.712299999999</v>
      </c>
      <c r="AO25" s="2">
        <v>2755.5260000000003</v>
      </c>
      <c r="AP25" s="2">
        <v>0</v>
      </c>
      <c r="AQ25" s="2">
        <v>8.6</v>
      </c>
      <c r="AR25" s="2">
        <v>24.93</v>
      </c>
      <c r="AS25" s="2">
        <v>0</v>
      </c>
      <c r="AT25" s="2">
        <v>92</v>
      </c>
      <c r="AU25" s="2">
        <v>46</v>
      </c>
      <c r="AV25" s="2">
        <v>1</v>
      </c>
      <c r="AW25" s="2">
        <v>1</v>
      </c>
      <c r="AX25" s="2"/>
      <c r="AY25" s="2"/>
      <c r="AZ25" s="2">
        <v>1</v>
      </c>
      <c r="BA25" s="2">
        <v>1</v>
      </c>
      <c r="BB25" s="2">
        <v>1</v>
      </c>
      <c r="BC25" s="2">
        <v>1</v>
      </c>
      <c r="BD25" s="2" t="s">
        <v>3</v>
      </c>
      <c r="BE25" s="2" t="s">
        <v>3</v>
      </c>
      <c r="BF25" s="2" t="s">
        <v>3</v>
      </c>
      <c r="BG25" s="2" t="s">
        <v>3</v>
      </c>
      <c r="BH25" s="2">
        <v>0</v>
      </c>
      <c r="BI25" s="2">
        <v>1</v>
      </c>
      <c r="BJ25" s="2" t="s">
        <v>29</v>
      </c>
      <c r="BK25" s="2"/>
      <c r="BL25" s="2"/>
      <c r="BM25" s="2">
        <v>1001</v>
      </c>
      <c r="BN25" s="2">
        <v>0</v>
      </c>
      <c r="BO25" s="2" t="s">
        <v>3</v>
      </c>
      <c r="BP25" s="2">
        <v>0</v>
      </c>
      <c r="BQ25" s="2">
        <v>2</v>
      </c>
      <c r="BR25" s="2">
        <v>0</v>
      </c>
      <c r="BS25" s="2">
        <v>1</v>
      </c>
      <c r="BT25" s="2">
        <v>1</v>
      </c>
      <c r="BU25" s="2">
        <v>1</v>
      </c>
      <c r="BV25" s="2">
        <v>1</v>
      </c>
      <c r="BW25" s="2">
        <v>1</v>
      </c>
      <c r="BX25" s="2">
        <v>1</v>
      </c>
      <c r="BY25" s="2" t="s">
        <v>3</v>
      </c>
      <c r="BZ25" s="2">
        <v>92</v>
      </c>
      <c r="CA25" s="2">
        <v>46</v>
      </c>
      <c r="CB25" s="2" t="s">
        <v>3</v>
      </c>
      <c r="CC25" s="2"/>
      <c r="CD25" s="2"/>
      <c r="CE25" s="2">
        <v>0</v>
      </c>
      <c r="CF25" s="2">
        <v>0</v>
      </c>
      <c r="CG25" s="2">
        <v>0</v>
      </c>
      <c r="CH25" s="2"/>
      <c r="CI25" s="2"/>
      <c r="CJ25" s="2"/>
      <c r="CK25" s="2"/>
      <c r="CL25" s="2"/>
      <c r="CM25" s="2">
        <v>0</v>
      </c>
      <c r="CN25" s="2" t="s">
        <v>3</v>
      </c>
      <c r="CO25" s="2">
        <v>0</v>
      </c>
      <c r="CP25" s="2">
        <f>(P25+Q25+S25+R25)</f>
        <v>1892.38</v>
      </c>
      <c r="CQ25" s="2">
        <f>SUMIF(SmtRes!AQ2:'SmtRes'!AQ6,"=1",SmtRes!AA2:'SmtRes'!AA6)</f>
        <v>3232.97</v>
      </c>
      <c r="CR25" s="2">
        <f>SUMIF(SmtRes!AQ2:'SmtRes'!AQ6,"=1",SmtRes!AB2:'SmtRes'!AB6)</f>
        <v>2979.01</v>
      </c>
      <c r="CS25" s="2">
        <f>SUMIF(SmtRes!AQ2:'SmtRes'!AQ6,"=1",SmtRes!AC2:'SmtRes'!AC6)</f>
        <v>1058.22</v>
      </c>
      <c r="CT25" s="2">
        <f>SUMIF(SmtRes!AQ2:'SmtRes'!AQ6,"=1",SmtRes!AD2:'SmtRes'!AD6)</f>
        <v>320.41000000000003</v>
      </c>
      <c r="CU25" s="2">
        <f>AG25</f>
        <v>0</v>
      </c>
      <c r="CV25" s="2">
        <f>SUMIF(SmtRes!AQ2:'SmtRes'!AQ6,"=1",SmtRes!BU2:'SmtRes'!BU6)</f>
        <v>8.6</v>
      </c>
      <c r="CW25" s="2">
        <f>SUMIF(SmtRes!AQ2:'SmtRes'!AQ6,"=1",SmtRes!BV2:'SmtRes'!BV6)</f>
        <v>24.93</v>
      </c>
      <c r="CX25" s="2">
        <f>AJ25</f>
        <v>0</v>
      </c>
      <c r="CY25" s="2">
        <f>(((S25+R25)*AT25)/100)</f>
        <v>492.93599999999998</v>
      </c>
      <c r="CZ25" s="2">
        <f>(((S25+R25)*AU25)/100)</f>
        <v>246.46799999999999</v>
      </c>
      <c r="DA25" s="2"/>
      <c r="DB25" s="2"/>
      <c r="DC25" s="2" t="s">
        <v>3</v>
      </c>
      <c r="DD25" s="2" t="s">
        <v>3</v>
      </c>
      <c r="DE25" s="2" t="s">
        <v>3</v>
      </c>
      <c r="DF25" s="2" t="s">
        <v>3</v>
      </c>
      <c r="DG25" s="2" t="s">
        <v>3</v>
      </c>
      <c r="DH25" s="2" t="s">
        <v>3</v>
      </c>
      <c r="DI25" s="2" t="s">
        <v>3</v>
      </c>
      <c r="DJ25" s="2" t="s">
        <v>3</v>
      </c>
      <c r="DK25" s="2" t="s">
        <v>3</v>
      </c>
      <c r="DL25" s="2" t="s">
        <v>3</v>
      </c>
      <c r="DM25" s="2" t="s">
        <v>3</v>
      </c>
      <c r="DN25" s="2">
        <v>0</v>
      </c>
      <c r="DO25" s="2">
        <v>0</v>
      </c>
      <c r="DP25" s="2">
        <v>1</v>
      </c>
      <c r="DQ25" s="2">
        <v>1</v>
      </c>
      <c r="DR25" s="2"/>
      <c r="DS25" s="2"/>
      <c r="DT25" s="2"/>
      <c r="DU25" s="2">
        <v>1007</v>
      </c>
      <c r="DV25" s="2" t="s">
        <v>28</v>
      </c>
      <c r="DW25" s="2" t="s">
        <v>28</v>
      </c>
      <c r="DX25" s="2">
        <v>1000</v>
      </c>
      <c r="DY25" s="2"/>
      <c r="DZ25" s="2" t="s">
        <v>3</v>
      </c>
      <c r="EA25" s="2" t="s">
        <v>3</v>
      </c>
      <c r="EB25" s="2" t="s">
        <v>3</v>
      </c>
      <c r="EC25" s="2" t="s">
        <v>3</v>
      </c>
      <c r="ED25" s="2"/>
      <c r="EE25" s="2">
        <v>44473990</v>
      </c>
      <c r="EF25" s="2">
        <v>2</v>
      </c>
      <c r="EG25" s="2" t="s">
        <v>30</v>
      </c>
      <c r="EH25" s="2">
        <v>1</v>
      </c>
      <c r="EI25" s="2" t="s">
        <v>31</v>
      </c>
      <c r="EJ25" s="2">
        <v>1</v>
      </c>
      <c r="EK25" s="2">
        <v>1001</v>
      </c>
      <c r="EL25" s="2" t="s">
        <v>32</v>
      </c>
      <c r="EM25" s="2" t="s">
        <v>33</v>
      </c>
      <c r="EN25" s="2"/>
      <c r="EO25" s="2" t="s">
        <v>34</v>
      </c>
      <c r="EP25" s="2"/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8.6</v>
      </c>
      <c r="EX25" s="2">
        <v>24.93</v>
      </c>
      <c r="EY25" s="2">
        <v>0</v>
      </c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>
        <v>0</v>
      </c>
      <c r="FR25" s="2">
        <v>0</v>
      </c>
      <c r="FS25" s="2">
        <v>0</v>
      </c>
      <c r="FT25" s="2"/>
      <c r="FU25" s="2"/>
      <c r="FV25" s="2"/>
      <c r="FW25" s="2"/>
      <c r="FX25" s="2">
        <v>92</v>
      </c>
      <c r="FY25" s="2">
        <v>46</v>
      </c>
      <c r="FZ25" s="2"/>
      <c r="GA25" s="2" t="s">
        <v>3</v>
      </c>
      <c r="GB25" s="2"/>
      <c r="GC25" s="2"/>
      <c r="GD25" s="2">
        <v>1</v>
      </c>
      <c r="GE25" s="2"/>
      <c r="GF25" s="2">
        <v>-967380631</v>
      </c>
      <c r="GG25" s="2">
        <v>2</v>
      </c>
      <c r="GH25" s="2">
        <v>1</v>
      </c>
      <c r="GI25" s="2">
        <v>-2</v>
      </c>
      <c r="GJ25" s="2">
        <v>0</v>
      </c>
      <c r="GK25" s="2">
        <v>0</v>
      </c>
      <c r="GL25" s="2">
        <f t="shared" si="14"/>
        <v>0</v>
      </c>
      <c r="GM25" s="2">
        <f>ROUND(O25+X25+Y25,2)+GX25</f>
        <v>2631.79</v>
      </c>
      <c r="GN25" s="2">
        <f t="shared" si="15"/>
        <v>2631.79</v>
      </c>
      <c r="GO25" s="2">
        <f t="shared" si="16"/>
        <v>0</v>
      </c>
      <c r="GP25" s="2">
        <f t="shared" si="17"/>
        <v>0</v>
      </c>
      <c r="GQ25" s="2"/>
      <c r="GR25" s="2">
        <v>0</v>
      </c>
      <c r="GS25" s="2">
        <v>3</v>
      </c>
      <c r="GT25" s="2">
        <v>0</v>
      </c>
      <c r="GU25" s="2" t="s">
        <v>3</v>
      </c>
      <c r="GV25" s="2">
        <f>ROUND((GT25),6)</f>
        <v>0</v>
      </c>
      <c r="GW25" s="2">
        <v>1</v>
      </c>
      <c r="GX25" s="2">
        <f>ROUND(HC25*I25,2)</f>
        <v>0</v>
      </c>
      <c r="GY25" s="2"/>
      <c r="GZ25" s="2"/>
      <c r="HA25" s="2">
        <v>0</v>
      </c>
      <c r="HB25" s="2">
        <v>0</v>
      </c>
      <c r="HC25" s="2">
        <f>GV25*GW25</f>
        <v>0</v>
      </c>
      <c r="HD25" s="2"/>
      <c r="HE25" s="2" t="s">
        <v>3</v>
      </c>
      <c r="HF25" s="2" t="s">
        <v>3</v>
      </c>
      <c r="HG25" s="2"/>
      <c r="HH25" s="2"/>
      <c r="HI25" s="2"/>
      <c r="HJ25" s="2"/>
      <c r="HK25" s="2"/>
      <c r="HL25" s="2"/>
      <c r="HM25" s="2" t="s">
        <v>3</v>
      </c>
      <c r="HN25" s="2" t="s">
        <v>35</v>
      </c>
      <c r="HO25" s="2" t="s">
        <v>36</v>
      </c>
      <c r="HP25" s="2" t="s">
        <v>32</v>
      </c>
      <c r="HQ25" s="2" t="s">
        <v>32</v>
      </c>
      <c r="HR25" s="2"/>
      <c r="HS25" s="2">
        <v>0</v>
      </c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>
        <v>0</v>
      </c>
      <c r="IL25" s="2"/>
      <c r="IM25" s="2"/>
      <c r="IN25" s="2"/>
      <c r="IO25" s="2"/>
      <c r="IP25" s="2"/>
      <c r="IQ25" s="2"/>
      <c r="IR25" s="2"/>
      <c r="IS25" s="2"/>
      <c r="IT25" s="2"/>
      <c r="IU25" s="2"/>
    </row>
    <row r="26" spans="1:255">
      <c r="A26" s="2">
        <v>17</v>
      </c>
      <c r="B26" s="2">
        <v>1</v>
      </c>
      <c r="C26" s="2"/>
      <c r="D26" s="2"/>
      <c r="E26" s="2" t="s">
        <v>37</v>
      </c>
      <c r="F26" s="2" t="s">
        <v>38</v>
      </c>
      <c r="G26" s="2" t="s">
        <v>39</v>
      </c>
      <c r="H26" s="2" t="s">
        <v>40</v>
      </c>
      <c r="I26" s="2">
        <v>16.8</v>
      </c>
      <c r="J26" s="2">
        <v>0</v>
      </c>
      <c r="K26" s="2">
        <v>16.8</v>
      </c>
      <c r="L26" s="2"/>
      <c r="M26" s="2"/>
      <c r="N26" s="2"/>
      <c r="O26" s="2">
        <f>0</f>
        <v>0</v>
      </c>
      <c r="P26" s="2">
        <f>0</f>
        <v>0</v>
      </c>
      <c r="Q26" s="2">
        <f>0</f>
        <v>0</v>
      </c>
      <c r="R26" s="2">
        <f>0</f>
        <v>0</v>
      </c>
      <c r="S26" s="2">
        <f>0</f>
        <v>0</v>
      </c>
      <c r="T26" s="2">
        <f>0</f>
        <v>0</v>
      </c>
      <c r="U26" s="2">
        <f>0</f>
        <v>0</v>
      </c>
      <c r="V26" s="2">
        <f>0</f>
        <v>0</v>
      </c>
      <c r="W26" s="2">
        <f>0</f>
        <v>0</v>
      </c>
      <c r="X26" s="2">
        <f>0</f>
        <v>0</v>
      </c>
      <c r="Y26" s="2">
        <f>0</f>
        <v>0</v>
      </c>
      <c r="Z26" s="2"/>
      <c r="AA26" s="2">
        <v>46261364</v>
      </c>
      <c r="AB26" s="2">
        <f>ROUND((AK26),6)</f>
        <v>303.01</v>
      </c>
      <c r="AC26" s="2">
        <f>0</f>
        <v>0</v>
      </c>
      <c r="AD26" s="2">
        <f>0</f>
        <v>0</v>
      </c>
      <c r="AE26" s="2">
        <f>0</f>
        <v>0</v>
      </c>
      <c r="AF26" s="2">
        <f>0</f>
        <v>0</v>
      </c>
      <c r="AG26" s="2">
        <f>0</f>
        <v>0</v>
      </c>
      <c r="AH26" s="2">
        <f>0</f>
        <v>0</v>
      </c>
      <c r="AI26" s="2">
        <f>0</f>
        <v>0</v>
      </c>
      <c r="AJ26" s="2">
        <f>0</f>
        <v>0</v>
      </c>
      <c r="AK26" s="2">
        <v>303.01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1</v>
      </c>
      <c r="AW26" s="2">
        <v>1</v>
      </c>
      <c r="AX26" s="2"/>
      <c r="AY26" s="2"/>
      <c r="AZ26" s="2">
        <v>1</v>
      </c>
      <c r="BA26" s="2">
        <v>1</v>
      </c>
      <c r="BB26" s="2">
        <v>1</v>
      </c>
      <c r="BC26" s="2">
        <v>1</v>
      </c>
      <c r="BD26" s="2" t="s">
        <v>3</v>
      </c>
      <c r="BE26" s="2" t="s">
        <v>3</v>
      </c>
      <c r="BF26" s="2" t="s">
        <v>3</v>
      </c>
      <c r="BG26" s="2" t="s">
        <v>3</v>
      </c>
      <c r="BH26" s="2">
        <v>0</v>
      </c>
      <c r="BI26" s="2">
        <v>1</v>
      </c>
      <c r="BJ26" s="2" t="s">
        <v>38</v>
      </c>
      <c r="BK26" s="2"/>
      <c r="BL26" s="2"/>
      <c r="BM26" s="2">
        <v>700008</v>
      </c>
      <c r="BN26" s="2">
        <v>0</v>
      </c>
      <c r="BO26" s="2" t="s">
        <v>3</v>
      </c>
      <c r="BP26" s="2">
        <v>0</v>
      </c>
      <c r="BQ26" s="2">
        <v>10</v>
      </c>
      <c r="BR26" s="2">
        <v>0</v>
      </c>
      <c r="BS26" s="2">
        <v>1</v>
      </c>
      <c r="BT26" s="2">
        <v>1</v>
      </c>
      <c r="BU26" s="2">
        <v>1</v>
      </c>
      <c r="BV26" s="2">
        <v>1</v>
      </c>
      <c r="BW26" s="2">
        <v>1</v>
      </c>
      <c r="BX26" s="2">
        <v>1</v>
      </c>
      <c r="BY26" s="2" t="s">
        <v>3</v>
      </c>
      <c r="BZ26" s="2">
        <v>94</v>
      </c>
      <c r="CA26" s="2">
        <v>61</v>
      </c>
      <c r="CB26" s="2" t="s">
        <v>3</v>
      </c>
      <c r="CC26" s="2"/>
      <c r="CD26" s="2"/>
      <c r="CE26" s="2">
        <v>0</v>
      </c>
      <c r="CF26" s="2">
        <v>0</v>
      </c>
      <c r="CG26" s="2">
        <v>0</v>
      </c>
      <c r="CH26" s="2"/>
      <c r="CI26" s="2"/>
      <c r="CJ26" s="2"/>
      <c r="CK26" s="2"/>
      <c r="CL26" s="2"/>
      <c r="CM26" s="2">
        <v>0</v>
      </c>
      <c r="CN26" s="2" t="s">
        <v>3</v>
      </c>
      <c r="CO26" s="2">
        <v>0</v>
      </c>
      <c r="CP26" s="2">
        <f>AB26*AZ26</f>
        <v>303.01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/>
      <c r="DB26" s="2"/>
      <c r="DC26" s="2" t="s">
        <v>3</v>
      </c>
      <c r="DD26" s="2" t="s">
        <v>3</v>
      </c>
      <c r="DE26" s="2" t="s">
        <v>3</v>
      </c>
      <c r="DF26" s="2" t="s">
        <v>3</v>
      </c>
      <c r="DG26" s="2" t="s">
        <v>3</v>
      </c>
      <c r="DH26" s="2" t="s">
        <v>3</v>
      </c>
      <c r="DI26" s="2" t="s">
        <v>3</v>
      </c>
      <c r="DJ26" s="2" t="s">
        <v>3</v>
      </c>
      <c r="DK26" s="2" t="s">
        <v>3</v>
      </c>
      <c r="DL26" s="2" t="s">
        <v>3</v>
      </c>
      <c r="DM26" s="2" t="s">
        <v>3</v>
      </c>
      <c r="DN26" s="2">
        <v>0</v>
      </c>
      <c r="DO26" s="2">
        <v>0</v>
      </c>
      <c r="DP26" s="2">
        <v>1</v>
      </c>
      <c r="DQ26" s="2">
        <v>1</v>
      </c>
      <c r="DR26" s="2"/>
      <c r="DS26" s="2"/>
      <c r="DT26" s="2"/>
      <c r="DU26" s="2">
        <v>1013</v>
      </c>
      <c r="DV26" s="2" t="s">
        <v>40</v>
      </c>
      <c r="DW26" s="2" t="s">
        <v>40</v>
      </c>
      <c r="DX26" s="2">
        <v>1</v>
      </c>
      <c r="DY26" s="2"/>
      <c r="DZ26" s="2" t="s">
        <v>3</v>
      </c>
      <c r="EA26" s="2" t="s">
        <v>3</v>
      </c>
      <c r="EB26" s="2" t="s">
        <v>3</v>
      </c>
      <c r="EC26" s="2" t="s">
        <v>3</v>
      </c>
      <c r="ED26" s="2"/>
      <c r="EE26" s="2">
        <v>44474480</v>
      </c>
      <c r="EF26" s="2">
        <v>10</v>
      </c>
      <c r="EG26" s="2" t="s">
        <v>41</v>
      </c>
      <c r="EH26" s="2">
        <v>107</v>
      </c>
      <c r="EI26" s="2" t="s">
        <v>42</v>
      </c>
      <c r="EJ26" s="2">
        <v>1</v>
      </c>
      <c r="EK26" s="2">
        <v>700008</v>
      </c>
      <c r="EL26" s="2" t="s">
        <v>43</v>
      </c>
      <c r="EM26" s="2" t="s">
        <v>44</v>
      </c>
      <c r="EN26" s="2"/>
      <c r="EO26" s="2" t="s">
        <v>3</v>
      </c>
      <c r="EP26" s="2"/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>
        <v>0</v>
      </c>
      <c r="FR26" s="2">
        <v>0</v>
      </c>
      <c r="FS26" s="2">
        <v>0</v>
      </c>
      <c r="FT26" s="2"/>
      <c r="FU26" s="2"/>
      <c r="FV26" s="2"/>
      <c r="FW26" s="2"/>
      <c r="FX26" s="2">
        <v>0</v>
      </c>
      <c r="FY26" s="2">
        <v>0</v>
      </c>
      <c r="FZ26" s="2"/>
      <c r="GA26" s="2" t="s">
        <v>3</v>
      </c>
      <c r="GB26" s="2"/>
      <c r="GC26" s="2"/>
      <c r="GD26" s="2">
        <v>1</v>
      </c>
      <c r="GE26" s="2"/>
      <c r="GF26" s="2">
        <v>-991188434</v>
      </c>
      <c r="GG26" s="2">
        <v>2</v>
      </c>
      <c r="GH26" s="2">
        <v>1</v>
      </c>
      <c r="GI26" s="2">
        <v>-2</v>
      </c>
      <c r="GJ26" s="2">
        <v>2</v>
      </c>
      <c r="GK26" s="2">
        <v>0</v>
      </c>
      <c r="GL26" s="2">
        <f t="shared" si="14"/>
        <v>0</v>
      </c>
      <c r="GM26" s="2">
        <f>ROUND(CP26*I26,2)</f>
        <v>5090.57</v>
      </c>
      <c r="GN26" s="2">
        <f t="shared" si="15"/>
        <v>5090.57</v>
      </c>
      <c r="GO26" s="2">
        <f t="shared" si="16"/>
        <v>0</v>
      </c>
      <c r="GP26" s="2">
        <f t="shared" si="17"/>
        <v>0</v>
      </c>
      <c r="GQ26" s="2"/>
      <c r="GR26" s="2">
        <v>0</v>
      </c>
      <c r="GS26" s="2">
        <v>3</v>
      </c>
      <c r="GT26" s="2">
        <v>0</v>
      </c>
      <c r="GU26" s="2" t="s">
        <v>3</v>
      </c>
      <c r="GV26" s="2">
        <f>0</f>
        <v>0</v>
      </c>
      <c r="GW26" s="2">
        <v>1</v>
      </c>
      <c r="GX26" s="2">
        <f>0</f>
        <v>0</v>
      </c>
      <c r="GY26" s="2"/>
      <c r="GZ26" s="2"/>
      <c r="HA26" s="2">
        <v>0</v>
      </c>
      <c r="HB26" s="2">
        <v>0</v>
      </c>
      <c r="HC26" s="2">
        <v>0</v>
      </c>
      <c r="HD26" s="2">
        <f>GM26</f>
        <v>5090.57</v>
      </c>
      <c r="HE26" s="2" t="s">
        <v>3</v>
      </c>
      <c r="HF26" s="2" t="s">
        <v>3</v>
      </c>
      <c r="HG26" s="2"/>
      <c r="HH26" s="2"/>
      <c r="HI26" s="2"/>
      <c r="HJ26" s="2"/>
      <c r="HK26" s="2"/>
      <c r="HL26" s="2"/>
      <c r="HM26" s="2" t="s">
        <v>3</v>
      </c>
      <c r="HN26" s="2" t="s">
        <v>45</v>
      </c>
      <c r="HO26" s="2" t="s">
        <v>46</v>
      </c>
      <c r="HP26" s="2" t="s">
        <v>42</v>
      </c>
      <c r="HQ26" s="2" t="s">
        <v>42</v>
      </c>
      <c r="HR26" s="2"/>
      <c r="HS26" s="2">
        <v>0</v>
      </c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>
        <v>0</v>
      </c>
      <c r="IL26" s="2"/>
      <c r="IM26" s="2"/>
      <c r="IN26" s="2"/>
      <c r="IO26" s="2"/>
      <c r="IP26" s="2"/>
      <c r="IQ26" s="2"/>
      <c r="IR26" s="2"/>
      <c r="IS26" s="2"/>
      <c r="IT26" s="2"/>
      <c r="IU26" s="2"/>
    </row>
    <row r="27" spans="1:255">
      <c r="A27" s="2">
        <v>17</v>
      </c>
      <c r="B27" s="2">
        <v>1</v>
      </c>
      <c r="C27" s="2">
        <f>ROW(SmtRes!A11)</f>
        <v>11</v>
      </c>
      <c r="D27" s="2">
        <f>ROW(EtalonRes!A12)</f>
        <v>12</v>
      </c>
      <c r="E27" s="2" t="s">
        <v>47</v>
      </c>
      <c r="F27" s="2" t="s">
        <v>48</v>
      </c>
      <c r="G27" s="2" t="s">
        <v>49</v>
      </c>
      <c r="H27" s="2" t="s">
        <v>50</v>
      </c>
      <c r="I27" s="2">
        <f>ROUND(1.4/100,7)</f>
        <v>1.4E-2</v>
      </c>
      <c r="J27" s="2">
        <v>0</v>
      </c>
      <c r="K27" s="2">
        <f>ROUND(1.4/100,7)</f>
        <v>1.4E-2</v>
      </c>
      <c r="L27" s="2"/>
      <c r="M27" s="2"/>
      <c r="N27" s="2"/>
      <c r="O27" s="2">
        <f t="shared" ref="O27:O41" si="18">ROUND(CP27,2)</f>
        <v>1147.29</v>
      </c>
      <c r="P27" s="2">
        <f>SUMIF(SmtRes!AQ7:'SmtRes'!AQ11,"=1",SmtRes!DF7:'SmtRes'!DF11)</f>
        <v>0</v>
      </c>
      <c r="Q27" s="2">
        <f>SUMIF(SmtRes!AQ7:'SmtRes'!AQ11,"=1",SmtRes!DG7:'SmtRes'!DG11)</f>
        <v>215.67</v>
      </c>
      <c r="R27" s="2">
        <f>SUMIF(SmtRes!AQ7:'SmtRes'!AQ11,"=1",SmtRes!DH7:'SmtRes'!DH11)</f>
        <v>206.79</v>
      </c>
      <c r="S27" s="2">
        <f>SUMIF(SmtRes!AQ7:'SmtRes'!AQ11,"=1",SmtRes!DI7:'SmtRes'!DI11)</f>
        <v>724.82999999999993</v>
      </c>
      <c r="T27" s="2">
        <f t="shared" ref="T27:T41" si="19">ROUND(CU27*I27,2)</f>
        <v>0</v>
      </c>
      <c r="U27" s="2">
        <f>SUMIF(SmtRes!AQ7:'SmtRes'!AQ11,"=1",SmtRes!CV7:'SmtRes'!CV11)</f>
        <v>2.1629999999999998</v>
      </c>
      <c r="V27" s="2">
        <f>SUMIF(SmtRes!AQ7:'SmtRes'!AQ11,"=1",SmtRes!CW7:'SmtRes'!CW11)</f>
        <v>0.52500000000000002</v>
      </c>
      <c r="W27" s="2">
        <f t="shared" ref="W27:W41" si="20">ROUND(CX27*I27,2)</f>
        <v>0</v>
      </c>
      <c r="X27" s="2">
        <f t="shared" ref="X27:X41" si="21">ROUND(CY27,2)</f>
        <v>950.25</v>
      </c>
      <c r="Y27" s="2">
        <f t="shared" ref="Y27:Y41" si="22">ROUND(CZ27,2)</f>
        <v>503.07</v>
      </c>
      <c r="Z27" s="2"/>
      <c r="AA27" s="2">
        <v>46261364</v>
      </c>
      <c r="AB27" s="2">
        <f t="shared" ref="AB27:AB41" si="23">ROUND((AC27+AD27+AF27),6)</f>
        <v>67097.347500000003</v>
      </c>
      <c r="AC27" s="2">
        <f>ROUND((0),6)</f>
        <v>0</v>
      </c>
      <c r="AD27" s="2">
        <f>ROUND((((SUM(SmtRes!BR7:'SmtRes'!BR11))-(SUM(SmtRes!BS7:'SmtRes'!BS11)))+AE27),6)</f>
        <v>15323.625</v>
      </c>
      <c r="AE27" s="2">
        <f>ROUND((SUM(SmtRes!BS7:'SmtRes'!BS11)),6)</f>
        <v>14770.875</v>
      </c>
      <c r="AF27" s="2">
        <f>ROUND((SUM(SmtRes!BT7:'SmtRes'!BT11)),6)</f>
        <v>51773.722500000003</v>
      </c>
      <c r="AG27" s="2">
        <f t="shared" ref="AG27:AG41" si="24">ROUND((AP27),6)</f>
        <v>0</v>
      </c>
      <c r="AH27" s="2">
        <f>(SUM(SmtRes!BU7:'SmtRes'!BU11))</f>
        <v>154.5</v>
      </c>
      <c r="AI27" s="2">
        <f>(SUM(SmtRes!BV7:'SmtRes'!BV11))</f>
        <v>37.5</v>
      </c>
      <c r="AJ27" s="2">
        <f t="shared" ref="AJ27:AJ41" si="25">(AS27)</f>
        <v>0</v>
      </c>
      <c r="AK27" s="2">
        <v>81868.222500000003</v>
      </c>
      <c r="AL27" s="2">
        <v>0</v>
      </c>
      <c r="AM27" s="2">
        <v>15323.625000000002</v>
      </c>
      <c r="AN27" s="2">
        <v>14770.875</v>
      </c>
      <c r="AO27" s="2">
        <v>51773.722500000003</v>
      </c>
      <c r="AP27" s="2">
        <v>0</v>
      </c>
      <c r="AQ27" s="2">
        <v>154.5</v>
      </c>
      <c r="AR27" s="2">
        <v>37.5</v>
      </c>
      <c r="AS27" s="2">
        <v>0</v>
      </c>
      <c r="AT27" s="2">
        <v>102</v>
      </c>
      <c r="AU27" s="2">
        <v>54</v>
      </c>
      <c r="AV27" s="2">
        <v>1</v>
      </c>
      <c r="AW27" s="2">
        <v>1</v>
      </c>
      <c r="AX27" s="2"/>
      <c r="AY27" s="2"/>
      <c r="AZ27" s="2">
        <v>1</v>
      </c>
      <c r="BA27" s="2">
        <v>1</v>
      </c>
      <c r="BB27" s="2">
        <v>1</v>
      </c>
      <c r="BC27" s="2">
        <v>1</v>
      </c>
      <c r="BD27" s="2" t="s">
        <v>3</v>
      </c>
      <c r="BE27" s="2" t="s">
        <v>3</v>
      </c>
      <c r="BF27" s="2" t="s">
        <v>3</v>
      </c>
      <c r="BG27" s="2" t="s">
        <v>3</v>
      </c>
      <c r="BH27" s="2">
        <v>0</v>
      </c>
      <c r="BI27" s="2">
        <v>1</v>
      </c>
      <c r="BJ27" s="2" t="s">
        <v>51</v>
      </c>
      <c r="BK27" s="2"/>
      <c r="BL27" s="2"/>
      <c r="BM27" s="2">
        <v>68001</v>
      </c>
      <c r="BN27" s="2">
        <v>0</v>
      </c>
      <c r="BO27" s="2" t="s">
        <v>3</v>
      </c>
      <c r="BP27" s="2">
        <v>0</v>
      </c>
      <c r="BQ27" s="2">
        <v>6</v>
      </c>
      <c r="BR27" s="2">
        <v>0</v>
      </c>
      <c r="BS27" s="2">
        <v>1</v>
      </c>
      <c r="BT27" s="2">
        <v>1</v>
      </c>
      <c r="BU27" s="2">
        <v>1</v>
      </c>
      <c r="BV27" s="2">
        <v>1</v>
      </c>
      <c r="BW27" s="2">
        <v>1</v>
      </c>
      <c r="BX27" s="2">
        <v>1</v>
      </c>
      <c r="BY27" s="2" t="s">
        <v>3</v>
      </c>
      <c r="BZ27" s="2">
        <v>102</v>
      </c>
      <c r="CA27" s="2">
        <v>54</v>
      </c>
      <c r="CB27" s="2" t="s">
        <v>3</v>
      </c>
      <c r="CC27" s="2"/>
      <c r="CD27" s="2"/>
      <c r="CE27" s="2">
        <v>0</v>
      </c>
      <c r="CF27" s="2">
        <v>0</v>
      </c>
      <c r="CG27" s="2">
        <v>0</v>
      </c>
      <c r="CH27" s="2"/>
      <c r="CI27" s="2"/>
      <c r="CJ27" s="2"/>
      <c r="CK27" s="2"/>
      <c r="CL27" s="2"/>
      <c r="CM27" s="2">
        <v>0</v>
      </c>
      <c r="CN27" s="2" t="s">
        <v>3</v>
      </c>
      <c r="CO27" s="2">
        <v>0</v>
      </c>
      <c r="CP27" s="2">
        <f t="shared" ref="CP27:CP41" si="26">(P27+Q27+S27+R27)</f>
        <v>1147.29</v>
      </c>
      <c r="CQ27" s="2">
        <f>SUMIF(SmtRes!AQ7:'SmtRes'!AQ11,"=1",SmtRes!AA7:'SmtRes'!AA11)</f>
        <v>0</v>
      </c>
      <c r="CR27" s="2">
        <f>SUMIF(SmtRes!AQ7:'SmtRes'!AQ11,"=1",SmtRes!AB7:'SmtRes'!AB11)</f>
        <v>407.6</v>
      </c>
      <c r="CS27" s="2">
        <f>SUMIF(SmtRes!AQ7:'SmtRes'!AQ11,"=1",SmtRes!AC7:'SmtRes'!AC11)</f>
        <v>393.89</v>
      </c>
      <c r="CT27" s="2">
        <f>SUMIF(SmtRes!AQ7:'SmtRes'!AQ11,"=1",SmtRes!AD7:'SmtRes'!AD11)</f>
        <v>670.21</v>
      </c>
      <c r="CU27" s="2">
        <f t="shared" ref="CU27:CU41" si="27">AG27</f>
        <v>0</v>
      </c>
      <c r="CV27" s="2">
        <f>SUMIF(SmtRes!AQ7:'SmtRes'!AQ11,"=1",SmtRes!BU7:'SmtRes'!BU11)</f>
        <v>154.5</v>
      </c>
      <c r="CW27" s="2">
        <f>SUMIF(SmtRes!AQ7:'SmtRes'!AQ11,"=1",SmtRes!BV7:'SmtRes'!BV11)</f>
        <v>37.5</v>
      </c>
      <c r="CX27" s="2">
        <f t="shared" ref="CX27:CX41" si="28">AJ27</f>
        <v>0</v>
      </c>
      <c r="CY27" s="2">
        <f t="shared" ref="CY27:CY41" si="29">(((S27+R27)*AT27)/100)</f>
        <v>950.25239999999985</v>
      </c>
      <c r="CZ27" s="2">
        <f t="shared" ref="CZ27:CZ41" si="30">(((S27+R27)*AU27)/100)</f>
        <v>503.07479999999998</v>
      </c>
      <c r="DA27" s="2"/>
      <c r="DB27" s="2"/>
      <c r="DC27" s="2" t="s">
        <v>3</v>
      </c>
      <c r="DD27" s="2" t="s">
        <v>3</v>
      </c>
      <c r="DE27" s="2" t="s">
        <v>3</v>
      </c>
      <c r="DF27" s="2" t="s">
        <v>3</v>
      </c>
      <c r="DG27" s="2" t="s">
        <v>3</v>
      </c>
      <c r="DH27" s="2" t="s">
        <v>3</v>
      </c>
      <c r="DI27" s="2" t="s">
        <v>3</v>
      </c>
      <c r="DJ27" s="2" t="s">
        <v>3</v>
      </c>
      <c r="DK27" s="2" t="s">
        <v>3</v>
      </c>
      <c r="DL27" s="2" t="s">
        <v>3</v>
      </c>
      <c r="DM27" s="2" t="s">
        <v>3</v>
      </c>
      <c r="DN27" s="2">
        <v>0</v>
      </c>
      <c r="DO27" s="2">
        <v>0</v>
      </c>
      <c r="DP27" s="2">
        <v>1</v>
      </c>
      <c r="DQ27" s="2">
        <v>1</v>
      </c>
      <c r="DR27" s="2"/>
      <c r="DS27" s="2"/>
      <c r="DT27" s="2"/>
      <c r="DU27" s="2">
        <v>1007</v>
      </c>
      <c r="DV27" s="2" t="s">
        <v>50</v>
      </c>
      <c r="DW27" s="2" t="s">
        <v>50</v>
      </c>
      <c r="DX27" s="2">
        <v>100</v>
      </c>
      <c r="DY27" s="2"/>
      <c r="DZ27" s="2" t="s">
        <v>3</v>
      </c>
      <c r="EA27" s="2" t="s">
        <v>3</v>
      </c>
      <c r="EB27" s="2" t="s">
        <v>3</v>
      </c>
      <c r="EC27" s="2" t="s">
        <v>3</v>
      </c>
      <c r="ED27" s="2"/>
      <c r="EE27" s="2">
        <v>44474141</v>
      </c>
      <c r="EF27" s="2">
        <v>6</v>
      </c>
      <c r="EG27" s="2" t="s">
        <v>20</v>
      </c>
      <c r="EH27" s="2">
        <v>102</v>
      </c>
      <c r="EI27" s="2" t="s">
        <v>21</v>
      </c>
      <c r="EJ27" s="2">
        <v>1</v>
      </c>
      <c r="EK27" s="2">
        <v>68001</v>
      </c>
      <c r="EL27" s="2" t="s">
        <v>21</v>
      </c>
      <c r="EM27" s="2" t="s">
        <v>22</v>
      </c>
      <c r="EN27" s="2"/>
      <c r="EO27" s="2" t="s">
        <v>3</v>
      </c>
      <c r="EP27" s="2"/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154.5</v>
      </c>
      <c r="EX27" s="2">
        <v>37.5</v>
      </c>
      <c r="EY27" s="2">
        <v>0</v>
      </c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>
        <v>0</v>
      </c>
      <c r="FR27" s="2">
        <v>0</v>
      </c>
      <c r="FS27" s="2">
        <v>0</v>
      </c>
      <c r="FT27" s="2"/>
      <c r="FU27" s="2"/>
      <c r="FV27" s="2"/>
      <c r="FW27" s="2"/>
      <c r="FX27" s="2">
        <v>102</v>
      </c>
      <c r="FY27" s="2">
        <v>54</v>
      </c>
      <c r="FZ27" s="2"/>
      <c r="GA27" s="2" t="s">
        <v>3</v>
      </c>
      <c r="GB27" s="2"/>
      <c r="GC27" s="2"/>
      <c r="GD27" s="2">
        <v>1</v>
      </c>
      <c r="GE27" s="2"/>
      <c r="GF27" s="2">
        <v>134336750</v>
      </c>
      <c r="GG27" s="2">
        <v>2</v>
      </c>
      <c r="GH27" s="2">
        <v>1</v>
      </c>
      <c r="GI27" s="2">
        <v>-2</v>
      </c>
      <c r="GJ27" s="2">
        <v>0</v>
      </c>
      <c r="GK27" s="2">
        <v>0</v>
      </c>
      <c r="GL27" s="2">
        <f t="shared" si="14"/>
        <v>0</v>
      </c>
      <c r="GM27" s="2">
        <f t="shared" ref="GM27:GM41" si="31">ROUND(O27+X27+Y27,2)+GX27</f>
        <v>2600.61</v>
      </c>
      <c r="GN27" s="2">
        <f t="shared" si="15"/>
        <v>2600.61</v>
      </c>
      <c r="GO27" s="2">
        <f t="shared" si="16"/>
        <v>0</v>
      </c>
      <c r="GP27" s="2">
        <f t="shared" si="17"/>
        <v>0</v>
      </c>
      <c r="GQ27" s="2"/>
      <c r="GR27" s="2">
        <v>0</v>
      </c>
      <c r="GS27" s="2">
        <v>3</v>
      </c>
      <c r="GT27" s="2">
        <v>0</v>
      </c>
      <c r="GU27" s="2" t="s">
        <v>3</v>
      </c>
      <c r="GV27" s="2">
        <f t="shared" ref="GV27:GV41" si="32">ROUND((GT27),6)</f>
        <v>0</v>
      </c>
      <c r="GW27" s="2">
        <v>1</v>
      </c>
      <c r="GX27" s="2">
        <f t="shared" ref="GX27:GX41" si="33">ROUND(HC27*I27,2)</f>
        <v>0</v>
      </c>
      <c r="GY27" s="2"/>
      <c r="GZ27" s="2"/>
      <c r="HA27" s="2">
        <v>0</v>
      </c>
      <c r="HB27" s="2">
        <v>0</v>
      </c>
      <c r="HC27" s="2">
        <f t="shared" ref="HC27:HC41" si="34">GV27*GW27</f>
        <v>0</v>
      </c>
      <c r="HD27" s="2"/>
      <c r="HE27" s="2" t="s">
        <v>3</v>
      </c>
      <c r="HF27" s="2" t="s">
        <v>3</v>
      </c>
      <c r="HG27" s="2"/>
      <c r="HH27" s="2"/>
      <c r="HI27" s="2"/>
      <c r="HJ27" s="2"/>
      <c r="HK27" s="2"/>
      <c r="HL27" s="2"/>
      <c r="HM27" s="2" t="s">
        <v>3</v>
      </c>
      <c r="HN27" s="2" t="s">
        <v>23</v>
      </c>
      <c r="HO27" s="2" t="s">
        <v>24</v>
      </c>
      <c r="HP27" s="2" t="s">
        <v>21</v>
      </c>
      <c r="HQ27" s="2" t="s">
        <v>21</v>
      </c>
      <c r="HR27" s="2"/>
      <c r="HS27" s="2">
        <v>0</v>
      </c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>
        <v>0</v>
      </c>
      <c r="IL27" s="2"/>
      <c r="IM27" s="2"/>
      <c r="IN27" s="2"/>
      <c r="IO27" s="2"/>
      <c r="IP27" s="2"/>
      <c r="IQ27" s="2"/>
      <c r="IR27" s="2"/>
      <c r="IS27" s="2"/>
      <c r="IT27" s="2"/>
      <c r="IU27" s="2"/>
    </row>
    <row r="28" spans="1:255">
      <c r="A28" s="2">
        <v>17</v>
      </c>
      <c r="B28" s="2">
        <v>1</v>
      </c>
      <c r="C28" s="2">
        <f>ROW(SmtRes!A12)</f>
        <v>12</v>
      </c>
      <c r="D28" s="2">
        <f>ROW(EtalonRes!A13)</f>
        <v>13</v>
      </c>
      <c r="E28" s="2" t="s">
        <v>52</v>
      </c>
      <c r="F28" s="2" t="s">
        <v>53</v>
      </c>
      <c r="G28" s="2" t="s">
        <v>54</v>
      </c>
      <c r="H28" s="2" t="s">
        <v>50</v>
      </c>
      <c r="I28" s="2">
        <f>ROUND(10/100,7)</f>
        <v>0.1</v>
      </c>
      <c r="J28" s="2">
        <v>0</v>
      </c>
      <c r="K28" s="2">
        <f>ROUND(10/100,7)</f>
        <v>0.1</v>
      </c>
      <c r="L28" s="2"/>
      <c r="M28" s="2"/>
      <c r="N28" s="2"/>
      <c r="O28" s="2">
        <f t="shared" si="18"/>
        <v>7946.17</v>
      </c>
      <c r="P28" s="2">
        <f>SUMIF(SmtRes!AQ12:'SmtRes'!AQ12,"=1",SmtRes!DF12:'SmtRes'!DF12)</f>
        <v>0</v>
      </c>
      <c r="Q28" s="2">
        <f>SUMIF(SmtRes!AQ12:'SmtRes'!AQ12,"=1",SmtRes!DG12:'SmtRes'!DG12)</f>
        <v>0</v>
      </c>
      <c r="R28" s="2">
        <f>SUMIF(SmtRes!AQ12:'SmtRes'!AQ12,"=1",SmtRes!DH12:'SmtRes'!DH12)</f>
        <v>0</v>
      </c>
      <c r="S28" s="2">
        <f>SUMIF(SmtRes!AQ12:'SmtRes'!AQ12,"=1",SmtRes!DI12:'SmtRes'!DI12)</f>
        <v>7946.17</v>
      </c>
      <c r="T28" s="2">
        <f t="shared" si="19"/>
        <v>0</v>
      </c>
      <c r="U28" s="2">
        <f>SUMIF(SmtRes!AQ12:'SmtRes'!AQ12,"=1",SmtRes!CV12:'SmtRes'!CV12)</f>
        <v>24.8</v>
      </c>
      <c r="V28" s="2">
        <f>SUMIF(SmtRes!AQ12:'SmtRes'!AQ12,"=1",SmtRes!CW12:'SmtRes'!CW12)</f>
        <v>0</v>
      </c>
      <c r="W28" s="2">
        <f t="shared" si="20"/>
        <v>0</v>
      </c>
      <c r="X28" s="2">
        <f t="shared" si="21"/>
        <v>7072.09</v>
      </c>
      <c r="Y28" s="2">
        <f t="shared" si="22"/>
        <v>3178.47</v>
      </c>
      <c r="Z28" s="2"/>
      <c r="AA28" s="2">
        <v>46261364</v>
      </c>
      <c r="AB28" s="2">
        <f t="shared" si="23"/>
        <v>79461.679999999993</v>
      </c>
      <c r="AC28" s="2">
        <f>ROUND((0),6)</f>
        <v>0</v>
      </c>
      <c r="AD28" s="2">
        <f>ROUND((((0)-(0))+AE28),6)</f>
        <v>0</v>
      </c>
      <c r="AE28" s="2">
        <f>ROUND((0),6)</f>
        <v>0</v>
      </c>
      <c r="AF28" s="2">
        <f>ROUND((SUM(SmtRes!BT12:'SmtRes'!BT12)),6)</f>
        <v>79461.679999999993</v>
      </c>
      <c r="AG28" s="2">
        <f t="shared" si="24"/>
        <v>0</v>
      </c>
      <c r="AH28" s="2">
        <f>(SUM(SmtRes!BU12:'SmtRes'!BU12))</f>
        <v>248</v>
      </c>
      <c r="AI28" s="2">
        <f>(0)</f>
        <v>0</v>
      </c>
      <c r="AJ28" s="2">
        <f t="shared" si="25"/>
        <v>0</v>
      </c>
      <c r="AK28" s="2">
        <v>79461.680000000008</v>
      </c>
      <c r="AL28" s="2">
        <v>0</v>
      </c>
      <c r="AM28" s="2">
        <v>0</v>
      </c>
      <c r="AN28" s="2">
        <v>0</v>
      </c>
      <c r="AO28" s="2">
        <v>79461.680000000008</v>
      </c>
      <c r="AP28" s="2">
        <v>0</v>
      </c>
      <c r="AQ28" s="2">
        <v>248</v>
      </c>
      <c r="AR28" s="2">
        <v>0</v>
      </c>
      <c r="AS28" s="2">
        <v>0</v>
      </c>
      <c r="AT28" s="2">
        <v>89</v>
      </c>
      <c r="AU28" s="2">
        <v>40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1</v>
      </c>
      <c r="BJ28" s="2" t="s">
        <v>55</v>
      </c>
      <c r="BK28" s="2"/>
      <c r="BL28" s="2"/>
      <c r="BM28" s="2">
        <v>1003</v>
      </c>
      <c r="BN28" s="2">
        <v>0</v>
      </c>
      <c r="BO28" s="2" t="s">
        <v>3</v>
      </c>
      <c r="BP28" s="2">
        <v>0</v>
      </c>
      <c r="BQ28" s="2">
        <v>2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89</v>
      </c>
      <c r="CA28" s="2">
        <v>40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2" t="s">
        <v>3</v>
      </c>
      <c r="CO28" s="2">
        <v>0</v>
      </c>
      <c r="CP28" s="2">
        <f t="shared" si="26"/>
        <v>7946.17</v>
      </c>
      <c r="CQ28" s="2">
        <f>SUMIF(SmtRes!AQ12:'SmtRes'!AQ12,"=1",SmtRes!AA12:'SmtRes'!AA12)</f>
        <v>0</v>
      </c>
      <c r="CR28" s="2">
        <f>SUMIF(SmtRes!AQ12:'SmtRes'!AQ12,"=1",SmtRes!AB12:'SmtRes'!AB12)</f>
        <v>0</v>
      </c>
      <c r="CS28" s="2">
        <f>SUMIF(SmtRes!AQ12:'SmtRes'!AQ12,"=1",SmtRes!AC12:'SmtRes'!AC12)</f>
        <v>0</v>
      </c>
      <c r="CT28" s="2">
        <f>SUMIF(SmtRes!AQ12:'SmtRes'!AQ12,"=1",SmtRes!AD12:'SmtRes'!AD12)</f>
        <v>320.41000000000003</v>
      </c>
      <c r="CU28" s="2">
        <f t="shared" si="27"/>
        <v>0</v>
      </c>
      <c r="CV28" s="2">
        <f>SUMIF(SmtRes!AQ12:'SmtRes'!AQ12,"=1",SmtRes!BU12:'SmtRes'!BU12)</f>
        <v>248</v>
      </c>
      <c r="CW28" s="2">
        <f>SUMIF(SmtRes!AQ12:'SmtRes'!AQ12,"=1",SmtRes!BV12:'SmtRes'!BV12)</f>
        <v>0</v>
      </c>
      <c r="CX28" s="2">
        <f t="shared" si="28"/>
        <v>0</v>
      </c>
      <c r="CY28" s="2">
        <f t="shared" si="29"/>
        <v>7072.0913</v>
      </c>
      <c r="CZ28" s="2">
        <f t="shared" si="30"/>
        <v>3178.4679999999998</v>
      </c>
      <c r="DA28" s="2"/>
      <c r="DB28" s="2"/>
      <c r="DC28" s="2" t="s">
        <v>3</v>
      </c>
      <c r="DD28" s="2" t="s">
        <v>3</v>
      </c>
      <c r="DE28" s="2" t="s">
        <v>3</v>
      </c>
      <c r="DF28" s="2" t="s">
        <v>3</v>
      </c>
      <c r="DG28" s="2" t="s">
        <v>3</v>
      </c>
      <c r="DH28" s="2" t="s">
        <v>3</v>
      </c>
      <c r="DI28" s="2" t="s">
        <v>3</v>
      </c>
      <c r="DJ28" s="2" t="s">
        <v>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1007</v>
      </c>
      <c r="DV28" s="2" t="s">
        <v>50</v>
      </c>
      <c r="DW28" s="2" t="s">
        <v>50</v>
      </c>
      <c r="DX28" s="2">
        <v>100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44473992</v>
      </c>
      <c r="EF28" s="2">
        <v>2</v>
      </c>
      <c r="EG28" s="2" t="s">
        <v>30</v>
      </c>
      <c r="EH28" s="2">
        <v>1</v>
      </c>
      <c r="EI28" s="2" t="s">
        <v>31</v>
      </c>
      <c r="EJ28" s="2">
        <v>1</v>
      </c>
      <c r="EK28" s="2">
        <v>1003</v>
      </c>
      <c r="EL28" s="2" t="s">
        <v>56</v>
      </c>
      <c r="EM28" s="2" t="s">
        <v>33</v>
      </c>
      <c r="EN28" s="2"/>
      <c r="EO28" s="2" t="s">
        <v>57</v>
      </c>
      <c r="EP28" s="2"/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248</v>
      </c>
      <c r="EX28" s="2">
        <v>0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89</v>
      </c>
      <c r="FY28" s="2">
        <v>40</v>
      </c>
      <c r="FZ28" s="2"/>
      <c r="GA28" s="2" t="s">
        <v>3</v>
      </c>
      <c r="GB28" s="2"/>
      <c r="GC28" s="2"/>
      <c r="GD28" s="2">
        <v>1</v>
      </c>
      <c r="GE28" s="2"/>
      <c r="GF28" s="2">
        <v>-435951062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 t="shared" si="14"/>
        <v>0</v>
      </c>
      <c r="GM28" s="2">
        <f t="shared" si="31"/>
        <v>18196.73</v>
      </c>
      <c r="GN28" s="2">
        <f t="shared" si="15"/>
        <v>18196.73</v>
      </c>
      <c r="GO28" s="2">
        <f t="shared" si="16"/>
        <v>0</v>
      </c>
      <c r="GP28" s="2">
        <f t="shared" si="17"/>
        <v>0</v>
      </c>
      <c r="GQ28" s="2"/>
      <c r="GR28" s="2">
        <v>0</v>
      </c>
      <c r="GS28" s="2">
        <v>0</v>
      </c>
      <c r="GT28" s="2">
        <v>0</v>
      </c>
      <c r="GU28" s="2" t="s">
        <v>3</v>
      </c>
      <c r="GV28" s="2">
        <f t="shared" si="32"/>
        <v>0</v>
      </c>
      <c r="GW28" s="2">
        <v>1</v>
      </c>
      <c r="GX28" s="2">
        <f t="shared" si="33"/>
        <v>0</v>
      </c>
      <c r="GY28" s="2"/>
      <c r="GZ28" s="2"/>
      <c r="HA28" s="2">
        <v>0</v>
      </c>
      <c r="HB28" s="2">
        <v>0</v>
      </c>
      <c r="HC28" s="2">
        <f t="shared" si="34"/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58</v>
      </c>
      <c r="HO28" s="2" t="s">
        <v>59</v>
      </c>
      <c r="HP28" s="2" t="s">
        <v>56</v>
      </c>
      <c r="HQ28" s="2" t="s">
        <v>56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ht="409.5">
      <c r="A29" s="2">
        <v>17</v>
      </c>
      <c r="B29" s="2">
        <v>1</v>
      </c>
      <c r="C29" s="2">
        <f>ROW(SmtRes!A17)</f>
        <v>17</v>
      </c>
      <c r="D29" s="2">
        <f>ROW(EtalonRes!A18)</f>
        <v>18</v>
      </c>
      <c r="E29" s="2" t="s">
        <v>60</v>
      </c>
      <c r="F29" s="2" t="s">
        <v>61</v>
      </c>
      <c r="G29" s="2" t="s">
        <v>62</v>
      </c>
      <c r="H29" s="2" t="s">
        <v>18</v>
      </c>
      <c r="I29" s="2">
        <f>ROUND(50/100,7)</f>
        <v>0.5</v>
      </c>
      <c r="J29" s="2">
        <v>0</v>
      </c>
      <c r="K29" s="2">
        <f>ROUND(50/100,7)</f>
        <v>0.5</v>
      </c>
      <c r="L29" s="2"/>
      <c r="M29" s="2"/>
      <c r="N29" s="2"/>
      <c r="O29" s="2">
        <f t="shared" si="18"/>
        <v>13889.74</v>
      </c>
      <c r="P29" s="2">
        <f>SUMIF(SmtRes!AQ13:'SmtRes'!AQ17,"=1",SmtRes!DF13:'SmtRes'!DF17)</f>
        <v>5.5</v>
      </c>
      <c r="Q29" s="2">
        <f>SUMIF(SmtRes!AQ13:'SmtRes'!AQ17,"=1",SmtRes!DG13:'SmtRes'!DG17)</f>
        <v>45.900000000000006</v>
      </c>
      <c r="R29" s="2">
        <f>SUMIF(SmtRes!AQ13:'SmtRes'!AQ17,"=1",SmtRes!DH13:'SmtRes'!DH17)</f>
        <v>0</v>
      </c>
      <c r="S29" s="2">
        <f>SUMIF(SmtRes!AQ13:'SmtRes'!AQ17,"=1",SmtRes!DI13:'SmtRes'!DI17)</f>
        <v>13838.34</v>
      </c>
      <c r="T29" s="2">
        <f t="shared" si="19"/>
        <v>0</v>
      </c>
      <c r="U29" s="2">
        <f>SUMIF(SmtRes!AQ13:'SmtRes'!AQ17,"=1",SmtRes!CV13:'SmtRes'!CV17)</f>
        <v>35.1325</v>
      </c>
      <c r="V29" s="2">
        <f>SUMIF(SmtRes!AQ13:'SmtRes'!AQ17,"=1",SmtRes!CW13:'SmtRes'!CW17)</f>
        <v>0</v>
      </c>
      <c r="W29" s="2">
        <f t="shared" si="20"/>
        <v>0</v>
      </c>
      <c r="X29" s="2">
        <f t="shared" si="21"/>
        <v>12454.51</v>
      </c>
      <c r="Y29" s="2">
        <f t="shared" si="22"/>
        <v>5763.67</v>
      </c>
      <c r="Z29" s="2"/>
      <c r="AA29" s="2">
        <v>46261364</v>
      </c>
      <c r="AB29" s="2">
        <f t="shared" si="23"/>
        <v>27775.02435</v>
      </c>
      <c r="AC29" s="2">
        <f>ROUND((SUM(SmtRes!BQ13:'SmtRes'!BQ17)),6)</f>
        <v>12.4985</v>
      </c>
      <c r="AD29" s="2">
        <f>ROUND((((SUM(SmtRes!BR13:'SmtRes'!BR17))-(0))+AE29),6)</f>
        <v>85.844999999999999</v>
      </c>
      <c r="AE29" s="2">
        <f>ROUND((0),6)</f>
        <v>0</v>
      </c>
      <c r="AF29" s="2">
        <f>ROUND((SUM(SmtRes!BT13:'SmtRes'!BT17)),6)</f>
        <v>27676.680850000001</v>
      </c>
      <c r="AG29" s="2">
        <f t="shared" si="24"/>
        <v>0</v>
      </c>
      <c r="AH29" s="2">
        <f>(SUM(SmtRes!BU13:'SmtRes'!BU17))</f>
        <v>70.265000000000001</v>
      </c>
      <c r="AI29" s="2">
        <f>(0)</f>
        <v>0</v>
      </c>
      <c r="AJ29" s="2">
        <f t="shared" si="25"/>
        <v>0</v>
      </c>
      <c r="AK29" s="2">
        <v>24147.853500000001</v>
      </c>
      <c r="AL29" s="2">
        <v>12.4985</v>
      </c>
      <c r="AM29" s="2">
        <v>68.676000000000002</v>
      </c>
      <c r="AN29" s="2">
        <v>0</v>
      </c>
      <c r="AO29" s="2">
        <v>24066.679</v>
      </c>
      <c r="AP29" s="2">
        <v>0</v>
      </c>
      <c r="AQ29" s="2">
        <v>61.1</v>
      </c>
      <c r="AR29" s="2">
        <v>0</v>
      </c>
      <c r="AS29" s="2">
        <v>0</v>
      </c>
      <c r="AT29" s="2">
        <v>90</v>
      </c>
      <c r="AU29" s="2">
        <v>41.65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0</v>
      </c>
      <c r="BI29" s="2">
        <v>1</v>
      </c>
      <c r="BJ29" s="2" t="s">
        <v>63</v>
      </c>
      <c r="BK29" s="2"/>
      <c r="BL29" s="2"/>
      <c r="BM29" s="2">
        <v>15001</v>
      </c>
      <c r="BN29" s="2">
        <v>0</v>
      </c>
      <c r="BO29" s="2" t="s">
        <v>3</v>
      </c>
      <c r="BP29" s="2">
        <v>0</v>
      </c>
      <c r="BQ29" s="2">
        <v>2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100</v>
      </c>
      <c r="CA29" s="2">
        <v>49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7" t="s">
        <v>381</v>
      </c>
      <c r="CO29" s="2">
        <v>0</v>
      </c>
      <c r="CP29" s="2">
        <f t="shared" si="26"/>
        <v>13889.74</v>
      </c>
      <c r="CQ29" s="2">
        <f>SUMIF(SmtRes!AQ13:'SmtRes'!AQ17,"=1",SmtRes!AA13:'SmtRes'!AA17)</f>
        <v>31.42</v>
      </c>
      <c r="CR29" s="2">
        <f>SUMIF(SmtRes!AQ13:'SmtRes'!AQ17,"=1",SmtRes!AB13:'SmtRes'!AB17)</f>
        <v>39.44</v>
      </c>
      <c r="CS29" s="2">
        <f>SUMIF(SmtRes!AQ13:'SmtRes'!AQ17,"=1",SmtRes!AC13:'SmtRes'!AC17)</f>
        <v>0</v>
      </c>
      <c r="CT29" s="2">
        <f>SUMIF(SmtRes!AQ13:'SmtRes'!AQ17,"=1",SmtRes!AD13:'SmtRes'!AD17)</f>
        <v>393.89</v>
      </c>
      <c r="CU29" s="2">
        <f t="shared" si="27"/>
        <v>0</v>
      </c>
      <c r="CV29" s="2">
        <f>SUMIF(SmtRes!AQ13:'SmtRes'!AQ17,"=1",SmtRes!BU13:'SmtRes'!BU17)</f>
        <v>70.265000000000001</v>
      </c>
      <c r="CW29" s="2">
        <f>SUMIF(SmtRes!AQ13:'SmtRes'!AQ17,"=1",SmtRes!BV13:'SmtRes'!BV17)</f>
        <v>0</v>
      </c>
      <c r="CX29" s="2">
        <f t="shared" si="28"/>
        <v>0</v>
      </c>
      <c r="CY29" s="2">
        <f t="shared" si="29"/>
        <v>12454.506000000001</v>
      </c>
      <c r="CZ29" s="2">
        <f t="shared" si="30"/>
        <v>5763.6686100000006</v>
      </c>
      <c r="DA29" s="2"/>
      <c r="DB29" s="2">
        <v>1</v>
      </c>
      <c r="DC29" s="2" t="s">
        <v>3</v>
      </c>
      <c r="DD29" s="2" t="s">
        <v>3</v>
      </c>
      <c r="DE29" s="2" t="s">
        <v>64</v>
      </c>
      <c r="DF29" s="2" t="s">
        <v>64</v>
      </c>
      <c r="DG29" s="2" t="s">
        <v>65</v>
      </c>
      <c r="DH29" s="2" t="s">
        <v>3</v>
      </c>
      <c r="DI29" s="2" t="s">
        <v>65</v>
      </c>
      <c r="DJ29" s="2" t="s">
        <v>64</v>
      </c>
      <c r="DK29" s="2" t="s">
        <v>3</v>
      </c>
      <c r="DL29" s="2" t="s">
        <v>66</v>
      </c>
      <c r="DM29" s="2" t="s">
        <v>67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1005</v>
      </c>
      <c r="DV29" s="2" t="s">
        <v>18</v>
      </c>
      <c r="DW29" s="2" t="s">
        <v>18</v>
      </c>
      <c r="DX29" s="2">
        <v>100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44474042</v>
      </c>
      <c r="EF29" s="2">
        <v>2</v>
      </c>
      <c r="EG29" s="2" t="s">
        <v>30</v>
      </c>
      <c r="EH29" s="2">
        <v>15</v>
      </c>
      <c r="EI29" s="2" t="s">
        <v>68</v>
      </c>
      <c r="EJ29" s="2">
        <v>1</v>
      </c>
      <c r="EK29" s="2">
        <v>15001</v>
      </c>
      <c r="EL29" s="2" t="s">
        <v>68</v>
      </c>
      <c r="EM29" s="2" t="s">
        <v>69</v>
      </c>
      <c r="EN29" s="2"/>
      <c r="EO29" s="2" t="s">
        <v>34</v>
      </c>
      <c r="EP29" s="2"/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61.1</v>
      </c>
      <c r="EX29" s="2">
        <v>0</v>
      </c>
      <c r="EY29" s="2">
        <v>0</v>
      </c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90</v>
      </c>
      <c r="FY29" s="2">
        <v>41.65</v>
      </c>
      <c r="FZ29" s="2"/>
      <c r="GA29" s="2" t="s">
        <v>3</v>
      </c>
      <c r="GB29" s="2"/>
      <c r="GC29" s="2"/>
      <c r="GD29" s="2">
        <v>1</v>
      </c>
      <c r="GE29" s="2"/>
      <c r="GF29" s="2">
        <v>2097115837</v>
      </c>
      <c r="GG29" s="2">
        <v>2</v>
      </c>
      <c r="GH29" s="2">
        <v>1</v>
      </c>
      <c r="GI29" s="2">
        <v>-2</v>
      </c>
      <c r="GJ29" s="2">
        <v>0</v>
      </c>
      <c r="GK29" s="2">
        <v>0</v>
      </c>
      <c r="GL29" s="2">
        <f t="shared" si="14"/>
        <v>0</v>
      </c>
      <c r="GM29" s="2">
        <f t="shared" si="31"/>
        <v>32107.919999999998</v>
      </c>
      <c r="GN29" s="2">
        <f t="shared" si="15"/>
        <v>32107.919999999998</v>
      </c>
      <c r="GO29" s="2">
        <f t="shared" si="16"/>
        <v>0</v>
      </c>
      <c r="GP29" s="2">
        <f t="shared" si="17"/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 t="shared" si="32"/>
        <v>0</v>
      </c>
      <c r="GW29" s="2">
        <v>1</v>
      </c>
      <c r="GX29" s="2">
        <f t="shared" si="33"/>
        <v>0</v>
      </c>
      <c r="GY29" s="2"/>
      <c r="GZ29" s="2"/>
      <c r="HA29" s="2">
        <v>0</v>
      </c>
      <c r="HB29" s="2">
        <v>0</v>
      </c>
      <c r="HC29" s="2">
        <f t="shared" si="34"/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70</v>
      </c>
      <c r="HO29" s="2" t="s">
        <v>71</v>
      </c>
      <c r="HP29" s="2" t="s">
        <v>68</v>
      </c>
      <c r="HQ29" s="2" t="s">
        <v>68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>
      <c r="A30" s="2">
        <v>18</v>
      </c>
      <c r="B30" s="2">
        <v>1</v>
      </c>
      <c r="C30" s="2">
        <v>17</v>
      </c>
      <c r="D30" s="2"/>
      <c r="E30" s="2" t="s">
        <v>72</v>
      </c>
      <c r="F30" s="2" t="s">
        <v>73</v>
      </c>
      <c r="G30" s="2" t="s">
        <v>74</v>
      </c>
      <c r="H30" s="2" t="s">
        <v>75</v>
      </c>
      <c r="I30" s="2">
        <f>I29*J30</f>
        <v>0.94499999999999995</v>
      </c>
      <c r="J30" s="2">
        <v>1.89</v>
      </c>
      <c r="K30" s="2">
        <v>1.89</v>
      </c>
      <c r="L30" s="2"/>
      <c r="M30" s="2"/>
      <c r="N30" s="2"/>
      <c r="O30" s="2">
        <f t="shared" si="18"/>
        <v>5779.41</v>
      </c>
      <c r="P30" s="2">
        <f>ROUND(CQ30*I30,2)</f>
        <v>5779.41</v>
      </c>
      <c r="Q30" s="2">
        <f>ROUND(CR30*I30,2)</f>
        <v>0</v>
      </c>
      <c r="R30" s="2">
        <f>ROUND(CS30*I30,2)</f>
        <v>0</v>
      </c>
      <c r="S30" s="2">
        <f>ROUND(CT30*I30,2)</f>
        <v>0</v>
      </c>
      <c r="T30" s="2">
        <f t="shared" si="19"/>
        <v>0</v>
      </c>
      <c r="U30" s="2">
        <f>ROUND(CV30*I30,7)</f>
        <v>0</v>
      </c>
      <c r="V30" s="2">
        <f>ROUND(CW30*I30,7)</f>
        <v>0</v>
      </c>
      <c r="W30" s="2">
        <f t="shared" si="20"/>
        <v>0</v>
      </c>
      <c r="X30" s="2">
        <f t="shared" si="21"/>
        <v>0</v>
      </c>
      <c r="Y30" s="2">
        <f t="shared" si="22"/>
        <v>0</v>
      </c>
      <c r="Z30" s="2"/>
      <c r="AA30" s="2">
        <v>46261364</v>
      </c>
      <c r="AB30" s="2">
        <f t="shared" si="23"/>
        <v>6115.78</v>
      </c>
      <c r="AC30" s="2">
        <f>ROUND((ES30),6)</f>
        <v>6115.78</v>
      </c>
      <c r="AD30" s="2">
        <f>ROUND((((ET30)-(EU30))+AE30),6)</f>
        <v>0</v>
      </c>
      <c r="AE30" s="2">
        <f>ROUND((EU30),6)</f>
        <v>0</v>
      </c>
      <c r="AF30" s="2">
        <f>ROUND((EV30),6)</f>
        <v>0</v>
      </c>
      <c r="AG30" s="2">
        <f t="shared" si="24"/>
        <v>0</v>
      </c>
      <c r="AH30" s="2">
        <f>(EW30)</f>
        <v>0</v>
      </c>
      <c r="AI30" s="2">
        <f>(EX30)</f>
        <v>0</v>
      </c>
      <c r="AJ30" s="2">
        <f t="shared" si="25"/>
        <v>0</v>
      </c>
      <c r="AK30" s="2">
        <v>6115.78</v>
      </c>
      <c r="AL30" s="2">
        <v>6115.78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100</v>
      </c>
      <c r="AU30" s="2">
        <v>49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3</v>
      </c>
      <c r="BI30" s="2">
        <v>1</v>
      </c>
      <c r="BJ30" s="2" t="s">
        <v>76</v>
      </c>
      <c r="BK30" s="2"/>
      <c r="BL30" s="2"/>
      <c r="BM30" s="2">
        <v>15001</v>
      </c>
      <c r="BN30" s="2">
        <v>0</v>
      </c>
      <c r="BO30" s="2" t="s">
        <v>3</v>
      </c>
      <c r="BP30" s="2">
        <v>0</v>
      </c>
      <c r="BQ30" s="2">
        <v>2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100</v>
      </c>
      <c r="CA30" s="2">
        <v>49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 t="shared" si="26"/>
        <v>5779.41</v>
      </c>
      <c r="CQ30" s="2">
        <f>ROUND(AL30*BC30,2)</f>
        <v>6115.78</v>
      </c>
      <c r="CR30" s="2">
        <f>ROUND(AM30*BB30,2)</f>
        <v>0</v>
      </c>
      <c r="CS30" s="2">
        <f>ROUND(AN30*BS30,2)</f>
        <v>0</v>
      </c>
      <c r="CT30" s="2">
        <f>ROUND(AO30*BA30,2)</f>
        <v>0</v>
      </c>
      <c r="CU30" s="2">
        <f t="shared" si="27"/>
        <v>0</v>
      </c>
      <c r="CV30" s="2">
        <f>AH30</f>
        <v>0</v>
      </c>
      <c r="CW30" s="2">
        <f>AI30</f>
        <v>0</v>
      </c>
      <c r="CX30" s="2">
        <f t="shared" si="28"/>
        <v>0</v>
      </c>
      <c r="CY30" s="2">
        <f t="shared" si="29"/>
        <v>0</v>
      </c>
      <c r="CZ30" s="2">
        <f t="shared" si="30"/>
        <v>0</v>
      </c>
      <c r="DA30" s="2"/>
      <c r="DB30" s="2"/>
      <c r="DC30" s="2" t="s">
        <v>3</v>
      </c>
      <c r="DD30" s="2" t="s">
        <v>3</v>
      </c>
      <c r="DE30" s="2" t="s">
        <v>3</v>
      </c>
      <c r="DF30" s="2" t="s">
        <v>3</v>
      </c>
      <c r="DG30" s="2" t="s">
        <v>3</v>
      </c>
      <c r="DH30" s="2" t="s">
        <v>3</v>
      </c>
      <c r="DI30" s="2" t="s">
        <v>3</v>
      </c>
      <c r="DJ30" s="2" t="s">
        <v>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1007</v>
      </c>
      <c r="DV30" s="2" t="s">
        <v>75</v>
      </c>
      <c r="DW30" s="2" t="s">
        <v>75</v>
      </c>
      <c r="DX30" s="2">
        <v>1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44474042</v>
      </c>
      <c r="EF30" s="2">
        <v>2</v>
      </c>
      <c r="EG30" s="2" t="s">
        <v>30</v>
      </c>
      <c r="EH30" s="2">
        <v>15</v>
      </c>
      <c r="EI30" s="2" t="s">
        <v>68</v>
      </c>
      <c r="EJ30" s="2">
        <v>1</v>
      </c>
      <c r="EK30" s="2">
        <v>15001</v>
      </c>
      <c r="EL30" s="2" t="s">
        <v>68</v>
      </c>
      <c r="EM30" s="2" t="s">
        <v>69</v>
      </c>
      <c r="EN30" s="2"/>
      <c r="EO30" s="2" t="s">
        <v>3</v>
      </c>
      <c r="EP30" s="2"/>
      <c r="EQ30" s="2">
        <v>0</v>
      </c>
      <c r="ER30" s="2">
        <v>6115.78</v>
      </c>
      <c r="ES30" s="2">
        <v>6115.78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100</v>
      </c>
      <c r="FY30" s="2">
        <v>49</v>
      </c>
      <c r="FZ30" s="2"/>
      <c r="GA30" s="2" t="s">
        <v>3</v>
      </c>
      <c r="GB30" s="2"/>
      <c r="GC30" s="2"/>
      <c r="GD30" s="2">
        <v>1</v>
      </c>
      <c r="GE30" s="2">
        <v>3778.62</v>
      </c>
      <c r="GF30" s="2">
        <v>920094744</v>
      </c>
      <c r="GG30" s="2">
        <v>2</v>
      </c>
      <c r="GH30" s="2">
        <v>1</v>
      </c>
      <c r="GI30" s="2">
        <v>-2</v>
      </c>
      <c r="GJ30" s="2">
        <v>0</v>
      </c>
      <c r="GK30" s="2">
        <v>0</v>
      </c>
      <c r="GL30" s="2">
        <f t="shared" si="14"/>
        <v>0</v>
      </c>
      <c r="GM30" s="2">
        <f t="shared" si="31"/>
        <v>5779.41</v>
      </c>
      <c r="GN30" s="2">
        <f t="shared" si="15"/>
        <v>5779.41</v>
      </c>
      <c r="GO30" s="2">
        <f t="shared" si="16"/>
        <v>0</v>
      </c>
      <c r="GP30" s="2">
        <f t="shared" si="17"/>
        <v>0</v>
      </c>
      <c r="GQ30" s="2"/>
      <c r="GR30" s="2">
        <v>3</v>
      </c>
      <c r="GS30" s="2">
        <v>3</v>
      </c>
      <c r="GT30" s="2">
        <v>0</v>
      </c>
      <c r="GU30" s="2" t="s">
        <v>3</v>
      </c>
      <c r="GV30" s="2">
        <f t="shared" si="32"/>
        <v>0</v>
      </c>
      <c r="GW30" s="2">
        <v>1</v>
      </c>
      <c r="GX30" s="2">
        <f t="shared" si="33"/>
        <v>0</v>
      </c>
      <c r="GY30" s="2"/>
      <c r="GZ30" s="2"/>
      <c r="HA30" s="2">
        <v>0</v>
      </c>
      <c r="HB30" s="2">
        <v>0</v>
      </c>
      <c r="HC30" s="2">
        <f t="shared" si="34"/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70</v>
      </c>
      <c r="HO30" s="2" t="s">
        <v>71</v>
      </c>
      <c r="HP30" s="2" t="s">
        <v>68</v>
      </c>
      <c r="HQ30" s="2" t="s">
        <v>68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ht="409.5">
      <c r="A31" s="2">
        <v>17</v>
      </c>
      <c r="B31" s="2">
        <v>1</v>
      </c>
      <c r="C31" s="2">
        <f>ROW(SmtRes!A25)</f>
        <v>25</v>
      </c>
      <c r="D31" s="2">
        <f>ROW(EtalonRes!A26)</f>
        <v>26</v>
      </c>
      <c r="E31" s="2" t="s">
        <v>77</v>
      </c>
      <c r="F31" s="2" t="s">
        <v>78</v>
      </c>
      <c r="G31" s="2" t="s">
        <v>79</v>
      </c>
      <c r="H31" s="2" t="s">
        <v>18</v>
      </c>
      <c r="I31" s="2">
        <f>ROUND(25/100,7)</f>
        <v>0.25</v>
      </c>
      <c r="J31" s="2">
        <v>0</v>
      </c>
      <c r="K31" s="2">
        <f>ROUND(25/100,7)</f>
        <v>0.25</v>
      </c>
      <c r="L31" s="2"/>
      <c r="M31" s="2"/>
      <c r="N31" s="2"/>
      <c r="O31" s="2">
        <f t="shared" si="18"/>
        <v>3353.28</v>
      </c>
      <c r="P31" s="2">
        <f>SUMIF(SmtRes!AQ18:'SmtRes'!AQ25,"=1",SmtRes!DF18:'SmtRes'!DF25)</f>
        <v>442.58</v>
      </c>
      <c r="Q31" s="2">
        <f>SUMIF(SmtRes!AQ18:'SmtRes'!AQ25,"=1",SmtRes!DG18:'SmtRes'!DG25)</f>
        <v>152.43</v>
      </c>
      <c r="R31" s="2">
        <f>SUMIF(SmtRes!AQ18:'SmtRes'!AQ25,"=1",SmtRes!DH18:'SmtRes'!DH25)</f>
        <v>28.31</v>
      </c>
      <c r="S31" s="2">
        <f>SUMIF(SmtRes!AQ18:'SmtRes'!AQ25,"=1",SmtRes!DI18:'SmtRes'!DI25)</f>
        <v>2729.96</v>
      </c>
      <c r="T31" s="2">
        <f t="shared" si="19"/>
        <v>0</v>
      </c>
      <c r="U31" s="2">
        <f>SUMIF(SmtRes!AQ18:'SmtRes'!AQ25,"=1",SmtRes!CV18:'SmtRes'!CV25)</f>
        <v>7.0092499999999998</v>
      </c>
      <c r="V31" s="2">
        <f>SUMIF(SmtRes!AQ18:'SmtRes'!AQ25,"=1",SmtRes!CW18:'SmtRes'!CW25)</f>
        <v>7.1874999999999994E-2</v>
      </c>
      <c r="W31" s="2">
        <f t="shared" si="20"/>
        <v>0</v>
      </c>
      <c r="X31" s="2">
        <f t="shared" si="21"/>
        <v>2730.69</v>
      </c>
      <c r="Y31" s="2">
        <f t="shared" si="22"/>
        <v>1617.73</v>
      </c>
      <c r="Z31" s="2"/>
      <c r="AA31" s="2">
        <v>46261364</v>
      </c>
      <c r="AB31" s="2">
        <f t="shared" si="23"/>
        <v>12851.429791</v>
      </c>
      <c r="AC31" s="2">
        <f>ROUND((SUM(SmtRes!BQ18:'SmtRes'!BQ25)),6)</f>
        <v>1498.0930000000001</v>
      </c>
      <c r="AD31" s="2">
        <f>ROUND((((SUM(SmtRes!BR18:'SmtRes'!BR25))-(SUM(SmtRes!BS18:'SmtRes'!BS25)))+AE31),6)</f>
        <v>433.48603100000003</v>
      </c>
      <c r="AE31" s="2">
        <f>ROUND((SUM(SmtRes!BS18:'SmtRes'!BS25)),6)</f>
        <v>113.243375</v>
      </c>
      <c r="AF31" s="2">
        <f>ROUND((SUM(SmtRes!BT18:'SmtRes'!BT25)),6)</f>
        <v>10919.850759999999</v>
      </c>
      <c r="AG31" s="2">
        <f t="shared" si="24"/>
        <v>0</v>
      </c>
      <c r="AH31" s="2">
        <f>(SUM(SmtRes!BU18:'SmtRes'!BU25))</f>
        <v>28.036999999999995</v>
      </c>
      <c r="AI31" s="2">
        <f>(SUM(SmtRes!BV18:'SmtRes'!BV25))</f>
        <v>0.28749999999999998</v>
      </c>
      <c r="AJ31" s="2">
        <f t="shared" si="25"/>
        <v>0</v>
      </c>
      <c r="AK31" s="2">
        <v>10135.4025</v>
      </c>
      <c r="AL31" s="2">
        <v>1498.0930000000001</v>
      </c>
      <c r="AM31" s="2">
        <v>301.55549999999999</v>
      </c>
      <c r="AN31" s="2">
        <v>78.778000000000006</v>
      </c>
      <c r="AO31" s="2">
        <v>8256.9760000000006</v>
      </c>
      <c r="AP31" s="2">
        <v>0</v>
      </c>
      <c r="AQ31" s="2">
        <v>21.2</v>
      </c>
      <c r="AR31" s="2">
        <v>0.2</v>
      </c>
      <c r="AS31" s="2">
        <v>0</v>
      </c>
      <c r="AT31" s="2">
        <v>99</v>
      </c>
      <c r="AU31" s="2">
        <v>58.65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0</v>
      </c>
      <c r="BI31" s="2">
        <v>1</v>
      </c>
      <c r="BJ31" s="2" t="s">
        <v>80</v>
      </c>
      <c r="BK31" s="2"/>
      <c r="BL31" s="2"/>
      <c r="BM31" s="2">
        <v>8001</v>
      </c>
      <c r="BN31" s="2">
        <v>0</v>
      </c>
      <c r="BO31" s="2" t="s">
        <v>3</v>
      </c>
      <c r="BP31" s="2">
        <v>0</v>
      </c>
      <c r="BQ31" s="2">
        <v>2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110</v>
      </c>
      <c r="CA31" s="2">
        <v>69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7" t="s">
        <v>383</v>
      </c>
      <c r="CO31" s="2">
        <v>0</v>
      </c>
      <c r="CP31" s="2">
        <f t="shared" si="26"/>
        <v>3353.28</v>
      </c>
      <c r="CQ31" s="2">
        <f>SUMIF(SmtRes!AQ18:'SmtRes'!AQ25,"=1",SmtRes!AA18:'SmtRes'!AA25)</f>
        <v>73472.39</v>
      </c>
      <c r="CR31" s="2">
        <f>SUMIF(SmtRes!AQ18:'SmtRes'!AQ25,"=1",SmtRes!AB18:'SmtRes'!AB25)</f>
        <v>737.21</v>
      </c>
      <c r="CS31" s="2">
        <f>SUMIF(SmtRes!AQ18:'SmtRes'!AQ25,"=1",SmtRes!AC18:'SmtRes'!AC25)</f>
        <v>393.89</v>
      </c>
      <c r="CT31" s="2">
        <f>SUMIF(SmtRes!AQ18:'SmtRes'!AQ25,"=1",SmtRes!AD18:'SmtRes'!AD25)</f>
        <v>389.48</v>
      </c>
      <c r="CU31" s="2">
        <f t="shared" si="27"/>
        <v>0</v>
      </c>
      <c r="CV31" s="2">
        <f>SUMIF(SmtRes!AQ18:'SmtRes'!AQ25,"=1",SmtRes!BU18:'SmtRes'!BU25)</f>
        <v>28.036999999999995</v>
      </c>
      <c r="CW31" s="2">
        <f>SUMIF(SmtRes!AQ18:'SmtRes'!AQ25,"=1",SmtRes!BV18:'SmtRes'!BV25)</f>
        <v>0.28749999999999998</v>
      </c>
      <c r="CX31" s="2">
        <f t="shared" si="28"/>
        <v>0</v>
      </c>
      <c r="CY31" s="2">
        <f t="shared" si="29"/>
        <v>2730.6872999999996</v>
      </c>
      <c r="CZ31" s="2">
        <f t="shared" si="30"/>
        <v>1617.725355</v>
      </c>
      <c r="DA31" s="2"/>
      <c r="DB31" s="2">
        <v>2</v>
      </c>
      <c r="DC31" s="2" t="s">
        <v>3</v>
      </c>
      <c r="DD31" s="2" t="s">
        <v>3</v>
      </c>
      <c r="DE31" s="2" t="s">
        <v>81</v>
      </c>
      <c r="DF31" s="2" t="s">
        <v>81</v>
      </c>
      <c r="DG31" s="2" t="s">
        <v>82</v>
      </c>
      <c r="DH31" s="2" t="s">
        <v>3</v>
      </c>
      <c r="DI31" s="2" t="s">
        <v>82</v>
      </c>
      <c r="DJ31" s="2" t="s">
        <v>81</v>
      </c>
      <c r="DK31" s="2" t="s">
        <v>3</v>
      </c>
      <c r="DL31" s="2" t="s">
        <v>66</v>
      </c>
      <c r="DM31" s="2" t="s">
        <v>67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1005</v>
      </c>
      <c r="DV31" s="2" t="s">
        <v>18</v>
      </c>
      <c r="DW31" s="2" t="s">
        <v>18</v>
      </c>
      <c r="DX31" s="2">
        <v>100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44474014</v>
      </c>
      <c r="EF31" s="2">
        <v>2</v>
      </c>
      <c r="EG31" s="2" t="s">
        <v>30</v>
      </c>
      <c r="EH31" s="2">
        <v>8</v>
      </c>
      <c r="EI31" s="2" t="s">
        <v>83</v>
      </c>
      <c r="EJ31" s="2">
        <v>1</v>
      </c>
      <c r="EK31" s="2">
        <v>8001</v>
      </c>
      <c r="EL31" s="2" t="s">
        <v>83</v>
      </c>
      <c r="EM31" s="2" t="s">
        <v>84</v>
      </c>
      <c r="EN31" s="2"/>
      <c r="EO31" s="2" t="s">
        <v>57</v>
      </c>
      <c r="EP31" s="2"/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21.2</v>
      </c>
      <c r="EX31" s="2">
        <v>0.2</v>
      </c>
      <c r="EY31" s="2">
        <v>0</v>
      </c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v>0</v>
      </c>
      <c r="FS31" s="2">
        <v>0</v>
      </c>
      <c r="FT31" s="2"/>
      <c r="FU31" s="2"/>
      <c r="FV31" s="2"/>
      <c r="FW31" s="2"/>
      <c r="FX31" s="2">
        <v>99</v>
      </c>
      <c r="FY31" s="2">
        <v>58.65</v>
      </c>
      <c r="FZ31" s="2"/>
      <c r="GA31" s="2" t="s">
        <v>3</v>
      </c>
      <c r="GB31" s="2"/>
      <c r="GC31" s="2"/>
      <c r="GD31" s="2">
        <v>1</v>
      </c>
      <c r="GE31" s="2"/>
      <c r="GF31" s="2">
        <v>-152594072</v>
      </c>
      <c r="GG31" s="2">
        <v>2</v>
      </c>
      <c r="GH31" s="2">
        <v>1</v>
      </c>
      <c r="GI31" s="2">
        <v>-2</v>
      </c>
      <c r="GJ31" s="2">
        <v>0</v>
      </c>
      <c r="GK31" s="2">
        <v>0</v>
      </c>
      <c r="GL31" s="2">
        <f t="shared" si="14"/>
        <v>0</v>
      </c>
      <c r="GM31" s="2">
        <f t="shared" si="31"/>
        <v>7701.7</v>
      </c>
      <c r="GN31" s="2">
        <f t="shared" si="15"/>
        <v>7701.7</v>
      </c>
      <c r="GO31" s="2">
        <f t="shared" si="16"/>
        <v>0</v>
      </c>
      <c r="GP31" s="2">
        <f t="shared" si="17"/>
        <v>0</v>
      </c>
      <c r="GQ31" s="2"/>
      <c r="GR31" s="2">
        <v>0</v>
      </c>
      <c r="GS31" s="2">
        <v>0</v>
      </c>
      <c r="GT31" s="2">
        <v>0</v>
      </c>
      <c r="GU31" s="2" t="s">
        <v>3</v>
      </c>
      <c r="GV31" s="2">
        <f t="shared" si="32"/>
        <v>0</v>
      </c>
      <c r="GW31" s="2">
        <v>1</v>
      </c>
      <c r="GX31" s="2">
        <f t="shared" si="33"/>
        <v>0</v>
      </c>
      <c r="GY31" s="2"/>
      <c r="GZ31" s="2"/>
      <c r="HA31" s="2">
        <v>0</v>
      </c>
      <c r="HB31" s="2">
        <v>0</v>
      </c>
      <c r="HC31" s="2">
        <f t="shared" si="34"/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85</v>
      </c>
      <c r="HO31" s="2" t="s">
        <v>86</v>
      </c>
      <c r="HP31" s="2" t="s">
        <v>83</v>
      </c>
      <c r="HQ31" s="2" t="s">
        <v>83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>
      <c r="A32" s="2">
        <v>18</v>
      </c>
      <c r="B32" s="2">
        <v>1</v>
      </c>
      <c r="C32" s="2">
        <v>22</v>
      </c>
      <c r="D32" s="2"/>
      <c r="E32" s="2" t="s">
        <v>87</v>
      </c>
      <c r="F32" s="2" t="s">
        <v>88</v>
      </c>
      <c r="G32" s="2" t="s">
        <v>89</v>
      </c>
      <c r="H32" s="2" t="s">
        <v>90</v>
      </c>
      <c r="I32" s="2">
        <f>I31*J32</f>
        <v>4.0000000000000001E-3</v>
      </c>
      <c r="J32" s="2">
        <v>1.6E-2</v>
      </c>
      <c r="K32" s="2">
        <v>1.6E-2</v>
      </c>
      <c r="L32" s="2"/>
      <c r="M32" s="2"/>
      <c r="N32" s="2"/>
      <c r="O32" s="2">
        <f t="shared" si="18"/>
        <v>78.08</v>
      </c>
      <c r="P32" s="2">
        <f>ROUND(CQ32*I32,2)</f>
        <v>78.08</v>
      </c>
      <c r="Q32" s="2">
        <f>ROUND(CR32*I32,2)</f>
        <v>0</v>
      </c>
      <c r="R32" s="2">
        <f>ROUND(CS32*I32,2)</f>
        <v>0</v>
      </c>
      <c r="S32" s="2">
        <f>ROUND(CT32*I32,2)</f>
        <v>0</v>
      </c>
      <c r="T32" s="2">
        <f t="shared" si="19"/>
        <v>0</v>
      </c>
      <c r="U32" s="2">
        <f>ROUND(CV32*I32,7)</f>
        <v>0</v>
      </c>
      <c r="V32" s="2">
        <f>ROUND(CW32*I32,7)</f>
        <v>0</v>
      </c>
      <c r="W32" s="2">
        <f t="shared" si="20"/>
        <v>0</v>
      </c>
      <c r="X32" s="2">
        <f t="shared" si="21"/>
        <v>0</v>
      </c>
      <c r="Y32" s="2">
        <f t="shared" si="22"/>
        <v>0</v>
      </c>
      <c r="Z32" s="2"/>
      <c r="AA32" s="2">
        <v>46261364</v>
      </c>
      <c r="AB32" s="2">
        <f t="shared" si="23"/>
        <v>22965.21</v>
      </c>
      <c r="AC32" s="2">
        <f>ROUND((ES32),6)</f>
        <v>22965.21</v>
      </c>
      <c r="AD32" s="2">
        <f>ROUND((((ET32)-(EU32))+AE32),6)</f>
        <v>0</v>
      </c>
      <c r="AE32" s="2">
        <f>ROUND((EU32),6)</f>
        <v>0</v>
      </c>
      <c r="AF32" s="2">
        <f>ROUND((EV32),6)</f>
        <v>0</v>
      </c>
      <c r="AG32" s="2">
        <f t="shared" si="24"/>
        <v>0</v>
      </c>
      <c r="AH32" s="2">
        <f>(EW32)</f>
        <v>0</v>
      </c>
      <c r="AI32" s="2">
        <f>(EX32)</f>
        <v>0</v>
      </c>
      <c r="AJ32" s="2">
        <f t="shared" si="25"/>
        <v>0</v>
      </c>
      <c r="AK32" s="2">
        <v>22965.21</v>
      </c>
      <c r="AL32" s="2">
        <v>22965.21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110</v>
      </c>
      <c r="AU32" s="2">
        <v>69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0.85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3</v>
      </c>
      <c r="BI32" s="2">
        <v>1</v>
      </c>
      <c r="BJ32" s="2" t="s">
        <v>91</v>
      </c>
      <c r="BK32" s="2"/>
      <c r="BL32" s="2"/>
      <c r="BM32" s="2">
        <v>8001</v>
      </c>
      <c r="BN32" s="2">
        <v>0</v>
      </c>
      <c r="BO32" s="2" t="s">
        <v>88</v>
      </c>
      <c r="BP32" s="2">
        <v>1</v>
      </c>
      <c r="BQ32" s="2">
        <v>2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110</v>
      </c>
      <c r="CA32" s="2">
        <v>69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2" t="s">
        <v>3</v>
      </c>
      <c r="CO32" s="2">
        <v>0</v>
      </c>
      <c r="CP32" s="2">
        <f t="shared" si="26"/>
        <v>78.08</v>
      </c>
      <c r="CQ32" s="2">
        <f>ROUND(AL32*BC32,2)</f>
        <v>19520.43</v>
      </c>
      <c r="CR32" s="2">
        <f>ROUND(AM32*BB32,2)</f>
        <v>0</v>
      </c>
      <c r="CS32" s="2">
        <f>ROUND(AN32*BS32,2)</f>
        <v>0</v>
      </c>
      <c r="CT32" s="2">
        <f>ROUND(AO32*BA32,2)</f>
        <v>0</v>
      </c>
      <c r="CU32" s="2">
        <f t="shared" si="27"/>
        <v>0</v>
      </c>
      <c r="CV32" s="2">
        <f>AH32</f>
        <v>0</v>
      </c>
      <c r="CW32" s="2">
        <f>AI32</f>
        <v>0</v>
      </c>
      <c r="CX32" s="2">
        <f t="shared" si="28"/>
        <v>0</v>
      </c>
      <c r="CY32" s="2">
        <f t="shared" si="29"/>
        <v>0</v>
      </c>
      <c r="CZ32" s="2">
        <f t="shared" si="30"/>
        <v>0</v>
      </c>
      <c r="DA32" s="2"/>
      <c r="DB32" s="2"/>
      <c r="DC32" s="2" t="s">
        <v>3</v>
      </c>
      <c r="DD32" s="2" t="s">
        <v>3</v>
      </c>
      <c r="DE32" s="2" t="s">
        <v>3</v>
      </c>
      <c r="DF32" s="2" t="s">
        <v>3</v>
      </c>
      <c r="DG32" s="2" t="s">
        <v>3</v>
      </c>
      <c r="DH32" s="2" t="s">
        <v>3</v>
      </c>
      <c r="DI32" s="2" t="s">
        <v>3</v>
      </c>
      <c r="DJ32" s="2" t="s">
        <v>3</v>
      </c>
      <c r="DK32" s="2" t="s">
        <v>3</v>
      </c>
      <c r="DL32" s="2" t="s">
        <v>3</v>
      </c>
      <c r="DM32" s="2" t="s">
        <v>3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1009</v>
      </c>
      <c r="DV32" s="2" t="s">
        <v>90</v>
      </c>
      <c r="DW32" s="2" t="s">
        <v>90</v>
      </c>
      <c r="DX32" s="2">
        <v>1000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44474014</v>
      </c>
      <c r="EF32" s="2">
        <v>2</v>
      </c>
      <c r="EG32" s="2" t="s">
        <v>30</v>
      </c>
      <c r="EH32" s="2">
        <v>8</v>
      </c>
      <c r="EI32" s="2" t="s">
        <v>83</v>
      </c>
      <c r="EJ32" s="2">
        <v>1</v>
      </c>
      <c r="EK32" s="2">
        <v>8001</v>
      </c>
      <c r="EL32" s="2" t="s">
        <v>83</v>
      </c>
      <c r="EM32" s="2" t="s">
        <v>84</v>
      </c>
      <c r="EN32" s="2"/>
      <c r="EO32" s="2" t="s">
        <v>3</v>
      </c>
      <c r="EP32" s="2"/>
      <c r="EQ32" s="2">
        <v>0</v>
      </c>
      <c r="ER32" s="2">
        <v>22965.21</v>
      </c>
      <c r="ES32" s="2">
        <v>22965.21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110</v>
      </c>
      <c r="FY32" s="2">
        <v>69</v>
      </c>
      <c r="FZ32" s="2"/>
      <c r="GA32" s="2" t="s">
        <v>3</v>
      </c>
      <c r="GB32" s="2"/>
      <c r="GC32" s="2"/>
      <c r="GD32" s="2">
        <v>1</v>
      </c>
      <c r="GE32" s="2"/>
      <c r="GF32" s="2">
        <v>1958720091</v>
      </c>
      <c r="GG32" s="2">
        <v>2</v>
      </c>
      <c r="GH32" s="2">
        <v>1</v>
      </c>
      <c r="GI32" s="2">
        <v>2</v>
      </c>
      <c r="GJ32" s="2">
        <v>0</v>
      </c>
      <c r="GK32" s="2">
        <v>0</v>
      </c>
      <c r="GL32" s="2">
        <f t="shared" si="14"/>
        <v>0</v>
      </c>
      <c r="GM32" s="2">
        <f t="shared" si="31"/>
        <v>78.08</v>
      </c>
      <c r="GN32" s="2">
        <f t="shared" si="15"/>
        <v>78.08</v>
      </c>
      <c r="GO32" s="2">
        <f t="shared" si="16"/>
        <v>0</v>
      </c>
      <c r="GP32" s="2">
        <f t="shared" si="17"/>
        <v>0</v>
      </c>
      <c r="GQ32" s="2"/>
      <c r="GR32" s="2">
        <v>0</v>
      </c>
      <c r="GS32" s="2">
        <v>0</v>
      </c>
      <c r="GT32" s="2">
        <v>0</v>
      </c>
      <c r="GU32" s="2" t="s">
        <v>3</v>
      </c>
      <c r="GV32" s="2">
        <f t="shared" si="32"/>
        <v>0</v>
      </c>
      <c r="GW32" s="2">
        <v>1</v>
      </c>
      <c r="GX32" s="2">
        <f t="shared" si="33"/>
        <v>0</v>
      </c>
      <c r="GY32" s="2"/>
      <c r="GZ32" s="2"/>
      <c r="HA32" s="2">
        <v>0</v>
      </c>
      <c r="HB32" s="2">
        <v>0</v>
      </c>
      <c r="HC32" s="2">
        <f t="shared" si="34"/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85</v>
      </c>
      <c r="HO32" s="2" t="s">
        <v>86</v>
      </c>
      <c r="HP32" s="2" t="s">
        <v>83</v>
      </c>
      <c r="HQ32" s="2" t="s">
        <v>83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>
      <c r="A33" s="2">
        <v>18</v>
      </c>
      <c r="B33" s="2">
        <v>1</v>
      </c>
      <c r="C33" s="2">
        <v>23</v>
      </c>
      <c r="D33" s="2"/>
      <c r="E33" s="2" t="s">
        <v>92</v>
      </c>
      <c r="F33" s="2" t="s">
        <v>93</v>
      </c>
      <c r="G33" s="2" t="s">
        <v>94</v>
      </c>
      <c r="H33" s="2" t="s">
        <v>95</v>
      </c>
      <c r="I33" s="2">
        <f>I31*J33</f>
        <v>60</v>
      </c>
      <c r="J33" s="2">
        <v>240</v>
      </c>
      <c r="K33" s="2">
        <v>240</v>
      </c>
      <c r="L33" s="2"/>
      <c r="M33" s="2"/>
      <c r="N33" s="2"/>
      <c r="O33" s="2">
        <f t="shared" si="18"/>
        <v>12470.4</v>
      </c>
      <c r="P33" s="2">
        <f>ROUND(CQ33*I33,2)</f>
        <v>12470.4</v>
      </c>
      <c r="Q33" s="2">
        <f>ROUND(CR33*I33,2)</f>
        <v>0</v>
      </c>
      <c r="R33" s="2">
        <f>ROUND(CS33*I33,2)</f>
        <v>0</v>
      </c>
      <c r="S33" s="2">
        <f>ROUND(CT33*I33,2)</f>
        <v>0</v>
      </c>
      <c r="T33" s="2">
        <f t="shared" si="19"/>
        <v>0</v>
      </c>
      <c r="U33" s="2">
        <f>ROUND(CV33*I33,7)</f>
        <v>0</v>
      </c>
      <c r="V33" s="2">
        <f>ROUND(CW33*I33,7)</f>
        <v>0</v>
      </c>
      <c r="W33" s="2">
        <f t="shared" si="20"/>
        <v>0</v>
      </c>
      <c r="X33" s="2">
        <f t="shared" si="21"/>
        <v>0</v>
      </c>
      <c r="Y33" s="2">
        <f t="shared" si="22"/>
        <v>0</v>
      </c>
      <c r="Z33" s="2"/>
      <c r="AA33" s="2">
        <v>46261364</v>
      </c>
      <c r="AB33" s="2">
        <f t="shared" si="23"/>
        <v>122.98</v>
      </c>
      <c r="AC33" s="2">
        <f>ROUND((ES33),6)</f>
        <v>122.98</v>
      </c>
      <c r="AD33" s="2">
        <f>ROUND((((ET33)-(EU33))+AE33),6)</f>
        <v>0</v>
      </c>
      <c r="AE33" s="2">
        <f>ROUND((EU33),6)</f>
        <v>0</v>
      </c>
      <c r="AF33" s="2">
        <f>ROUND((EV33),6)</f>
        <v>0</v>
      </c>
      <c r="AG33" s="2">
        <f t="shared" si="24"/>
        <v>0</v>
      </c>
      <c r="AH33" s="2">
        <f>(EW33)</f>
        <v>0</v>
      </c>
      <c r="AI33" s="2">
        <f>(EX33)</f>
        <v>0</v>
      </c>
      <c r="AJ33" s="2">
        <f t="shared" si="25"/>
        <v>0</v>
      </c>
      <c r="AK33" s="2">
        <v>122.98</v>
      </c>
      <c r="AL33" s="2">
        <v>122.98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110</v>
      </c>
      <c r="AU33" s="2">
        <v>69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1.69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3</v>
      </c>
      <c r="BI33" s="2">
        <v>1</v>
      </c>
      <c r="BJ33" s="2" t="s">
        <v>96</v>
      </c>
      <c r="BK33" s="2"/>
      <c r="BL33" s="2"/>
      <c r="BM33" s="2">
        <v>8001</v>
      </c>
      <c r="BN33" s="2">
        <v>0</v>
      </c>
      <c r="BO33" s="2" t="s">
        <v>93</v>
      </c>
      <c r="BP33" s="2">
        <v>1</v>
      </c>
      <c r="BQ33" s="2">
        <v>2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110</v>
      </c>
      <c r="CA33" s="2">
        <v>69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2" t="s">
        <v>3</v>
      </c>
      <c r="CO33" s="2">
        <v>0</v>
      </c>
      <c r="CP33" s="2">
        <f t="shared" si="26"/>
        <v>12470.4</v>
      </c>
      <c r="CQ33" s="2">
        <f>ROUND(AL33*BC33,2)</f>
        <v>207.84</v>
      </c>
      <c r="CR33" s="2">
        <f>ROUND(AM33*BB33,2)</f>
        <v>0</v>
      </c>
      <c r="CS33" s="2">
        <f>ROUND(AN33*BS33,2)</f>
        <v>0</v>
      </c>
      <c r="CT33" s="2">
        <f>ROUND(AO33*BA33,2)</f>
        <v>0</v>
      </c>
      <c r="CU33" s="2">
        <f t="shared" si="27"/>
        <v>0</v>
      </c>
      <c r="CV33" s="2">
        <f>AH33</f>
        <v>0</v>
      </c>
      <c r="CW33" s="2">
        <f>AI33</f>
        <v>0</v>
      </c>
      <c r="CX33" s="2">
        <f t="shared" si="28"/>
        <v>0</v>
      </c>
      <c r="CY33" s="2">
        <f t="shared" si="29"/>
        <v>0</v>
      </c>
      <c r="CZ33" s="2">
        <f t="shared" si="30"/>
        <v>0</v>
      </c>
      <c r="DA33" s="2"/>
      <c r="DB33" s="2"/>
      <c r="DC33" s="2" t="s">
        <v>3</v>
      </c>
      <c r="DD33" s="2" t="s">
        <v>3</v>
      </c>
      <c r="DE33" s="2" t="s">
        <v>3</v>
      </c>
      <c r="DF33" s="2" t="s">
        <v>3</v>
      </c>
      <c r="DG33" s="2" t="s">
        <v>3</v>
      </c>
      <c r="DH33" s="2" t="s">
        <v>3</v>
      </c>
      <c r="DI33" s="2" t="s">
        <v>3</v>
      </c>
      <c r="DJ33" s="2" t="s">
        <v>3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1009</v>
      </c>
      <c r="DV33" s="2" t="s">
        <v>95</v>
      </c>
      <c r="DW33" s="2" t="s">
        <v>95</v>
      </c>
      <c r="DX33" s="2">
        <v>1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44474014</v>
      </c>
      <c r="EF33" s="2">
        <v>2</v>
      </c>
      <c r="EG33" s="2" t="s">
        <v>30</v>
      </c>
      <c r="EH33" s="2">
        <v>8</v>
      </c>
      <c r="EI33" s="2" t="s">
        <v>83</v>
      </c>
      <c r="EJ33" s="2">
        <v>1</v>
      </c>
      <c r="EK33" s="2">
        <v>8001</v>
      </c>
      <c r="EL33" s="2" t="s">
        <v>83</v>
      </c>
      <c r="EM33" s="2" t="s">
        <v>84</v>
      </c>
      <c r="EN33" s="2"/>
      <c r="EO33" s="2" t="s">
        <v>3</v>
      </c>
      <c r="EP33" s="2"/>
      <c r="EQ33" s="2">
        <v>0</v>
      </c>
      <c r="ER33" s="2">
        <v>122.98</v>
      </c>
      <c r="ES33" s="2">
        <v>122.98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v>0</v>
      </c>
      <c r="FS33" s="2">
        <v>0</v>
      </c>
      <c r="FT33" s="2"/>
      <c r="FU33" s="2"/>
      <c r="FV33" s="2"/>
      <c r="FW33" s="2"/>
      <c r="FX33" s="2">
        <v>110</v>
      </c>
      <c r="FY33" s="2">
        <v>69</v>
      </c>
      <c r="FZ33" s="2"/>
      <c r="GA33" s="2" t="s">
        <v>3</v>
      </c>
      <c r="GB33" s="2"/>
      <c r="GC33" s="2"/>
      <c r="GD33" s="2">
        <v>1</v>
      </c>
      <c r="GE33" s="2"/>
      <c r="GF33" s="2">
        <v>-1496760548</v>
      </c>
      <c r="GG33" s="2">
        <v>2</v>
      </c>
      <c r="GH33" s="2">
        <v>1</v>
      </c>
      <c r="GI33" s="2">
        <v>2</v>
      </c>
      <c r="GJ33" s="2">
        <v>0</v>
      </c>
      <c r="GK33" s="2">
        <v>0</v>
      </c>
      <c r="GL33" s="2">
        <f t="shared" si="14"/>
        <v>0</v>
      </c>
      <c r="GM33" s="2">
        <f t="shared" si="31"/>
        <v>12470.4</v>
      </c>
      <c r="GN33" s="2">
        <f t="shared" si="15"/>
        <v>12470.4</v>
      </c>
      <c r="GO33" s="2">
        <f t="shared" si="16"/>
        <v>0</v>
      </c>
      <c r="GP33" s="2">
        <f t="shared" si="17"/>
        <v>0</v>
      </c>
      <c r="GQ33" s="2"/>
      <c r="GR33" s="2">
        <v>0</v>
      </c>
      <c r="GS33" s="2">
        <v>0</v>
      </c>
      <c r="GT33" s="2">
        <v>0</v>
      </c>
      <c r="GU33" s="2" t="s">
        <v>3</v>
      </c>
      <c r="GV33" s="2">
        <f t="shared" si="32"/>
        <v>0</v>
      </c>
      <c r="GW33" s="2">
        <v>1</v>
      </c>
      <c r="GX33" s="2">
        <f t="shared" si="33"/>
        <v>0</v>
      </c>
      <c r="GY33" s="2"/>
      <c r="GZ33" s="2"/>
      <c r="HA33" s="2">
        <v>0</v>
      </c>
      <c r="HB33" s="2">
        <v>0</v>
      </c>
      <c r="HC33" s="2">
        <f t="shared" si="34"/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85</v>
      </c>
      <c r="HO33" s="2" t="s">
        <v>86</v>
      </c>
      <c r="HP33" s="2" t="s">
        <v>83</v>
      </c>
      <c r="HQ33" s="2" t="s">
        <v>83</v>
      </c>
      <c r="HR33" s="2"/>
      <c r="HS33" s="2">
        <v>0</v>
      </c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ht="409.5">
      <c r="A34" s="2">
        <v>17</v>
      </c>
      <c r="B34" s="2">
        <v>1</v>
      </c>
      <c r="C34" s="2">
        <f>ROW(SmtRes!A33)</f>
        <v>33</v>
      </c>
      <c r="D34" s="2">
        <f>ROW(EtalonRes!A34)</f>
        <v>34</v>
      </c>
      <c r="E34" s="2" t="s">
        <v>97</v>
      </c>
      <c r="F34" s="2" t="s">
        <v>98</v>
      </c>
      <c r="G34" s="2" t="s">
        <v>99</v>
      </c>
      <c r="H34" s="2" t="s">
        <v>50</v>
      </c>
      <c r="I34" s="2">
        <f>ROUND(5/100,7)</f>
        <v>0.05</v>
      </c>
      <c r="J34" s="2">
        <v>0</v>
      </c>
      <c r="K34" s="2">
        <f>ROUND(5/100,7)</f>
        <v>0.05</v>
      </c>
      <c r="L34" s="2"/>
      <c r="M34" s="2"/>
      <c r="N34" s="2"/>
      <c r="O34" s="2">
        <f t="shared" si="18"/>
        <v>3676.64</v>
      </c>
      <c r="P34" s="2">
        <f>SUMIF(SmtRes!AQ26:'SmtRes'!AQ33,"=1",SmtRes!DF26:'SmtRes'!DF33)</f>
        <v>7.86</v>
      </c>
      <c r="Q34" s="2">
        <f>SUMIF(SmtRes!AQ26:'SmtRes'!AQ33,"=1",SmtRes!DG26:'SmtRes'!DG33)</f>
        <v>2858.2099999999996</v>
      </c>
      <c r="R34" s="2">
        <f>SUMIF(SmtRes!AQ26:'SmtRes'!AQ33,"=1",SmtRes!DH26:'SmtRes'!DH33)</f>
        <v>497.09</v>
      </c>
      <c r="S34" s="2">
        <f>SUMIF(SmtRes!AQ26:'SmtRes'!AQ33,"=1",SmtRes!DI26:'SmtRes'!DI33)</f>
        <v>313.48</v>
      </c>
      <c r="T34" s="2">
        <f t="shared" si="19"/>
        <v>0</v>
      </c>
      <c r="U34" s="2">
        <f>SUMIF(SmtRes!AQ26:'SmtRes'!AQ33,"=1",SmtRes!CV26:'SmtRes'!CV33)</f>
        <v>0.95220000000000005</v>
      </c>
      <c r="V34" s="2">
        <f>SUMIF(SmtRes!AQ26:'SmtRes'!AQ33,"=1",SmtRes!CW26:'SmtRes'!CW33)</f>
        <v>0.99762510000000004</v>
      </c>
      <c r="W34" s="2">
        <f t="shared" si="20"/>
        <v>0</v>
      </c>
      <c r="X34" s="2">
        <f t="shared" si="21"/>
        <v>1072.3800000000001</v>
      </c>
      <c r="Y34" s="2">
        <f t="shared" si="22"/>
        <v>923.24</v>
      </c>
      <c r="Z34" s="2"/>
      <c r="AA34" s="2">
        <v>46261364</v>
      </c>
      <c r="AB34" s="2">
        <f t="shared" si="23"/>
        <v>47431.872411999997</v>
      </c>
      <c r="AC34" s="2">
        <f>ROUND((SUM(SmtRes!BQ26:'SmtRes'!BQ33)),6)</f>
        <v>178.55</v>
      </c>
      <c r="AD34" s="2">
        <f>ROUND((((SUM(SmtRes!BR26:'SmtRes'!BR33))-(SUM(SmtRes!BS26:'SmtRes'!BS33)))+AE34),6)</f>
        <v>40983.656732000003</v>
      </c>
      <c r="AE34" s="2">
        <f>ROUND((SUM(SmtRes!BS26:'SmtRes'!BS33)),6)</f>
        <v>9941.8927440000007</v>
      </c>
      <c r="AF34" s="2">
        <f>ROUND((SUM(SmtRes!BT26:'SmtRes'!BT33)),6)</f>
        <v>6269.6656800000001</v>
      </c>
      <c r="AG34" s="2">
        <f t="shared" si="24"/>
        <v>0</v>
      </c>
      <c r="AH34" s="2">
        <f>(SUM(SmtRes!BU26:'SmtRes'!BU33))</f>
        <v>19.043999999999997</v>
      </c>
      <c r="AI34" s="2">
        <f>(SUM(SmtRes!BV26:'SmtRes'!BV33))</f>
        <v>19.952499999999997</v>
      </c>
      <c r="AJ34" s="2">
        <f t="shared" si="25"/>
        <v>0</v>
      </c>
      <c r="AK34" s="2">
        <v>40345.787199999999</v>
      </c>
      <c r="AL34" s="2">
        <v>178.55</v>
      </c>
      <c r="AM34" s="2">
        <v>28510.369899999998</v>
      </c>
      <c r="AN34" s="2">
        <v>6916.0993000000008</v>
      </c>
      <c r="AO34" s="2">
        <v>4740.7680000000009</v>
      </c>
      <c r="AP34" s="2">
        <v>0</v>
      </c>
      <c r="AQ34" s="2">
        <v>14.4</v>
      </c>
      <c r="AR34" s="2">
        <v>13.88</v>
      </c>
      <c r="AS34" s="2">
        <v>0</v>
      </c>
      <c r="AT34" s="2">
        <v>132.30000000000001</v>
      </c>
      <c r="AU34" s="2">
        <v>113.9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</v>
      </c>
      <c r="BC34" s="2">
        <v>1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0</v>
      </c>
      <c r="BI34" s="2">
        <v>1</v>
      </c>
      <c r="BJ34" s="2" t="s">
        <v>100</v>
      </c>
      <c r="BK34" s="2"/>
      <c r="BL34" s="2"/>
      <c r="BM34" s="2">
        <v>27001</v>
      </c>
      <c r="BN34" s="2">
        <v>0</v>
      </c>
      <c r="BO34" s="2" t="s">
        <v>3</v>
      </c>
      <c r="BP34" s="2">
        <v>0</v>
      </c>
      <c r="BQ34" s="2">
        <v>2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147</v>
      </c>
      <c r="CA34" s="2">
        <v>134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/>
      <c r="CI34" s="2"/>
      <c r="CJ34" s="2"/>
      <c r="CK34" s="2"/>
      <c r="CL34" s="2"/>
      <c r="CM34" s="2">
        <v>0</v>
      </c>
      <c r="CN34" s="7" t="s">
        <v>383</v>
      </c>
      <c r="CO34" s="2">
        <v>0</v>
      </c>
      <c r="CP34" s="2">
        <f t="shared" si="26"/>
        <v>3676.64</v>
      </c>
      <c r="CQ34" s="2">
        <f>SUMIF(SmtRes!AQ26:'SmtRes'!AQ33,"=1",SmtRes!AA26:'SmtRes'!AA33)</f>
        <v>31.42</v>
      </c>
      <c r="CR34" s="2">
        <f>SUMIF(SmtRes!AQ26:'SmtRes'!AQ33,"=1",SmtRes!AB26:'SmtRes'!AB33)</f>
        <v>9569.4600000000009</v>
      </c>
      <c r="CS34" s="2">
        <f>SUMIF(SmtRes!AQ26:'SmtRes'!AQ33,"=1",SmtRes!AC26:'SmtRes'!AC33)</f>
        <v>1904.79</v>
      </c>
      <c r="CT34" s="2">
        <f>SUMIF(SmtRes!AQ26:'SmtRes'!AQ33,"=1",SmtRes!AD26:'SmtRes'!AD33)</f>
        <v>329.22</v>
      </c>
      <c r="CU34" s="2">
        <f t="shared" si="27"/>
        <v>0</v>
      </c>
      <c r="CV34" s="2">
        <f>SUMIF(SmtRes!AQ26:'SmtRes'!AQ33,"=1",SmtRes!BU26:'SmtRes'!BU33)</f>
        <v>19.043999999999997</v>
      </c>
      <c r="CW34" s="2">
        <f>SUMIF(SmtRes!AQ26:'SmtRes'!AQ33,"=1",SmtRes!BV26:'SmtRes'!BV33)</f>
        <v>19.952499999999997</v>
      </c>
      <c r="CX34" s="2">
        <f t="shared" si="28"/>
        <v>0</v>
      </c>
      <c r="CY34" s="2">
        <f t="shared" si="29"/>
        <v>1072.38411</v>
      </c>
      <c r="CZ34" s="2">
        <f t="shared" si="30"/>
        <v>923.23922999999991</v>
      </c>
      <c r="DA34" s="2"/>
      <c r="DB34" s="2">
        <v>4</v>
      </c>
      <c r="DC34" s="2" t="s">
        <v>3</v>
      </c>
      <c r="DD34" s="2" t="s">
        <v>3</v>
      </c>
      <c r="DE34" s="2" t="s">
        <v>81</v>
      </c>
      <c r="DF34" s="2" t="s">
        <v>81</v>
      </c>
      <c r="DG34" s="2" t="s">
        <v>82</v>
      </c>
      <c r="DH34" s="2" t="s">
        <v>3</v>
      </c>
      <c r="DI34" s="2" t="s">
        <v>82</v>
      </c>
      <c r="DJ34" s="2" t="s">
        <v>81</v>
      </c>
      <c r="DK34" s="2" t="s">
        <v>3</v>
      </c>
      <c r="DL34" s="2" t="s">
        <v>66</v>
      </c>
      <c r="DM34" s="2" t="s">
        <v>67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1007</v>
      </c>
      <c r="DV34" s="2" t="s">
        <v>50</v>
      </c>
      <c r="DW34" s="2" t="s">
        <v>50</v>
      </c>
      <c r="DX34" s="2">
        <v>100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44474057</v>
      </c>
      <c r="EF34" s="2">
        <v>2</v>
      </c>
      <c r="EG34" s="2" t="s">
        <v>30</v>
      </c>
      <c r="EH34" s="2">
        <v>21</v>
      </c>
      <c r="EI34" s="2" t="s">
        <v>101</v>
      </c>
      <c r="EJ34" s="2">
        <v>1</v>
      </c>
      <c r="EK34" s="2">
        <v>27001</v>
      </c>
      <c r="EL34" s="2" t="s">
        <v>101</v>
      </c>
      <c r="EM34" s="2" t="s">
        <v>102</v>
      </c>
      <c r="EN34" s="2"/>
      <c r="EO34" s="2" t="s">
        <v>57</v>
      </c>
      <c r="EP34" s="2"/>
      <c r="EQ34" s="2">
        <v>0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14.4</v>
      </c>
      <c r="EX34" s="2">
        <v>13.88</v>
      </c>
      <c r="EY34" s="2">
        <v>0</v>
      </c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v>0</v>
      </c>
      <c r="FS34" s="2">
        <v>0</v>
      </c>
      <c r="FT34" s="2"/>
      <c r="FU34" s="2"/>
      <c r="FV34" s="2"/>
      <c r="FW34" s="2"/>
      <c r="FX34" s="2">
        <v>132.30000000000001</v>
      </c>
      <c r="FY34" s="2">
        <v>113.9</v>
      </c>
      <c r="FZ34" s="2"/>
      <c r="GA34" s="2" t="s">
        <v>3</v>
      </c>
      <c r="GB34" s="2"/>
      <c r="GC34" s="2"/>
      <c r="GD34" s="2">
        <v>1</v>
      </c>
      <c r="GE34" s="2"/>
      <c r="GF34" s="2">
        <v>1172495660</v>
      </c>
      <c r="GG34" s="2">
        <v>2</v>
      </c>
      <c r="GH34" s="2">
        <v>1</v>
      </c>
      <c r="GI34" s="2">
        <v>-2</v>
      </c>
      <c r="GJ34" s="2">
        <v>0</v>
      </c>
      <c r="GK34" s="2">
        <v>0</v>
      </c>
      <c r="GL34" s="2">
        <f t="shared" si="14"/>
        <v>0</v>
      </c>
      <c r="GM34" s="2">
        <f t="shared" si="31"/>
        <v>5672.26</v>
      </c>
      <c r="GN34" s="2">
        <f t="shared" si="15"/>
        <v>5672.26</v>
      </c>
      <c r="GO34" s="2">
        <f t="shared" si="16"/>
        <v>0</v>
      </c>
      <c r="GP34" s="2">
        <f t="shared" si="17"/>
        <v>0</v>
      </c>
      <c r="GQ34" s="2"/>
      <c r="GR34" s="2">
        <v>0</v>
      </c>
      <c r="GS34" s="2">
        <v>0</v>
      </c>
      <c r="GT34" s="2">
        <v>0</v>
      </c>
      <c r="GU34" s="2" t="s">
        <v>3</v>
      </c>
      <c r="GV34" s="2">
        <f t="shared" si="32"/>
        <v>0</v>
      </c>
      <c r="GW34" s="2">
        <v>1</v>
      </c>
      <c r="GX34" s="2">
        <f t="shared" si="33"/>
        <v>0</v>
      </c>
      <c r="GY34" s="2"/>
      <c r="GZ34" s="2"/>
      <c r="HA34" s="2">
        <v>0</v>
      </c>
      <c r="HB34" s="2">
        <v>0</v>
      </c>
      <c r="HC34" s="2">
        <f t="shared" si="34"/>
        <v>0</v>
      </c>
      <c r="HD34" s="2"/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103</v>
      </c>
      <c r="HO34" s="2" t="s">
        <v>104</v>
      </c>
      <c r="HP34" s="2" t="s">
        <v>101</v>
      </c>
      <c r="HQ34" s="2" t="s">
        <v>101</v>
      </c>
      <c r="HR34" s="2"/>
      <c r="HS34" s="2">
        <v>0</v>
      </c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>
      <c r="A35" s="2">
        <v>18</v>
      </c>
      <c r="B35" s="2">
        <v>1</v>
      </c>
      <c r="C35" s="2">
        <v>33</v>
      </c>
      <c r="D35" s="2"/>
      <c r="E35" s="2" t="s">
        <v>105</v>
      </c>
      <c r="F35" s="2" t="s">
        <v>106</v>
      </c>
      <c r="G35" s="2" t="s">
        <v>107</v>
      </c>
      <c r="H35" s="2" t="s">
        <v>75</v>
      </c>
      <c r="I35" s="2">
        <f>I34*J35</f>
        <v>5</v>
      </c>
      <c r="J35" s="2">
        <v>100</v>
      </c>
      <c r="K35" s="2">
        <v>100</v>
      </c>
      <c r="L35" s="2"/>
      <c r="M35" s="2"/>
      <c r="N35" s="2"/>
      <c r="O35" s="2">
        <f t="shared" si="18"/>
        <v>10032.299999999999</v>
      </c>
      <c r="P35" s="2">
        <f>ROUND(CQ35*I35,2)</f>
        <v>10032.299999999999</v>
      </c>
      <c r="Q35" s="2">
        <f>ROUND(CR35*I35,2)</f>
        <v>0</v>
      </c>
      <c r="R35" s="2">
        <f>ROUND(CS35*I35,2)</f>
        <v>0</v>
      </c>
      <c r="S35" s="2">
        <f>ROUND(CT35*I35,2)</f>
        <v>0</v>
      </c>
      <c r="T35" s="2">
        <f t="shared" si="19"/>
        <v>0</v>
      </c>
      <c r="U35" s="2">
        <f>ROUND(CV35*I35,7)</f>
        <v>0</v>
      </c>
      <c r="V35" s="2">
        <f>ROUND(CW35*I35,7)</f>
        <v>0</v>
      </c>
      <c r="W35" s="2">
        <f t="shared" si="20"/>
        <v>0</v>
      </c>
      <c r="X35" s="2">
        <f t="shared" si="21"/>
        <v>0</v>
      </c>
      <c r="Y35" s="2">
        <f t="shared" si="22"/>
        <v>0</v>
      </c>
      <c r="Z35" s="2"/>
      <c r="AA35" s="2">
        <v>46261364</v>
      </c>
      <c r="AB35" s="2">
        <f t="shared" si="23"/>
        <v>565.20000000000005</v>
      </c>
      <c r="AC35" s="2">
        <f>ROUND((ES35),6)</f>
        <v>565.20000000000005</v>
      </c>
      <c r="AD35" s="2">
        <f>ROUND((((ET35)-(EU35))+AE35),6)</f>
        <v>0</v>
      </c>
      <c r="AE35" s="2">
        <f>ROUND((EU35),6)</f>
        <v>0</v>
      </c>
      <c r="AF35" s="2">
        <f>ROUND((EV35),6)</f>
        <v>0</v>
      </c>
      <c r="AG35" s="2">
        <f t="shared" si="24"/>
        <v>0</v>
      </c>
      <c r="AH35" s="2">
        <f>(EW35)</f>
        <v>0</v>
      </c>
      <c r="AI35" s="2">
        <f>(EX35)</f>
        <v>0</v>
      </c>
      <c r="AJ35" s="2">
        <f t="shared" si="25"/>
        <v>0</v>
      </c>
      <c r="AK35" s="2">
        <v>565.20000000000005</v>
      </c>
      <c r="AL35" s="2">
        <v>565.20000000000005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147</v>
      </c>
      <c r="AU35" s="2">
        <v>134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3.55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3</v>
      </c>
      <c r="BI35" s="2">
        <v>1</v>
      </c>
      <c r="BJ35" s="2" t="s">
        <v>108</v>
      </c>
      <c r="BK35" s="2"/>
      <c r="BL35" s="2"/>
      <c r="BM35" s="2">
        <v>27001</v>
      </c>
      <c r="BN35" s="2">
        <v>0</v>
      </c>
      <c r="BO35" s="2" t="s">
        <v>106</v>
      </c>
      <c r="BP35" s="2">
        <v>1</v>
      </c>
      <c r="BQ35" s="2">
        <v>2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147</v>
      </c>
      <c r="CA35" s="2">
        <v>134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3</v>
      </c>
      <c r="CO35" s="2">
        <v>0</v>
      </c>
      <c r="CP35" s="2">
        <f t="shared" si="26"/>
        <v>10032.299999999999</v>
      </c>
      <c r="CQ35" s="2">
        <f>ROUND(AL35*BC35,2)</f>
        <v>2006.46</v>
      </c>
      <c r="CR35" s="2">
        <f>ROUND(AM35*BB35,2)</f>
        <v>0</v>
      </c>
      <c r="CS35" s="2">
        <f>ROUND(AN35*BS35,2)</f>
        <v>0</v>
      </c>
      <c r="CT35" s="2">
        <f>ROUND(AO35*BA35,2)</f>
        <v>0</v>
      </c>
      <c r="CU35" s="2">
        <f t="shared" si="27"/>
        <v>0</v>
      </c>
      <c r="CV35" s="2">
        <f>AH35</f>
        <v>0</v>
      </c>
      <c r="CW35" s="2">
        <f>AI35</f>
        <v>0</v>
      </c>
      <c r="CX35" s="2">
        <f t="shared" si="28"/>
        <v>0</v>
      </c>
      <c r="CY35" s="2">
        <f t="shared" si="29"/>
        <v>0</v>
      </c>
      <c r="CZ35" s="2">
        <f t="shared" si="30"/>
        <v>0</v>
      </c>
      <c r="DA35" s="2"/>
      <c r="DB35" s="2"/>
      <c r="DC35" s="2" t="s">
        <v>3</v>
      </c>
      <c r="DD35" s="2" t="s">
        <v>3</v>
      </c>
      <c r="DE35" s="2" t="s">
        <v>3</v>
      </c>
      <c r="DF35" s="2" t="s">
        <v>3</v>
      </c>
      <c r="DG35" s="2" t="s">
        <v>3</v>
      </c>
      <c r="DH35" s="2" t="s">
        <v>3</v>
      </c>
      <c r="DI35" s="2" t="s">
        <v>3</v>
      </c>
      <c r="DJ35" s="2" t="s">
        <v>3</v>
      </c>
      <c r="DK35" s="2" t="s">
        <v>3</v>
      </c>
      <c r="DL35" s="2" t="s">
        <v>3</v>
      </c>
      <c r="DM35" s="2" t="s">
        <v>3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1007</v>
      </c>
      <c r="DV35" s="2" t="s">
        <v>75</v>
      </c>
      <c r="DW35" s="2" t="s">
        <v>75</v>
      </c>
      <c r="DX35" s="2">
        <v>1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44474057</v>
      </c>
      <c r="EF35" s="2">
        <v>2</v>
      </c>
      <c r="EG35" s="2" t="s">
        <v>30</v>
      </c>
      <c r="EH35" s="2">
        <v>21</v>
      </c>
      <c r="EI35" s="2" t="s">
        <v>101</v>
      </c>
      <c r="EJ35" s="2">
        <v>1</v>
      </c>
      <c r="EK35" s="2">
        <v>27001</v>
      </c>
      <c r="EL35" s="2" t="s">
        <v>101</v>
      </c>
      <c r="EM35" s="2" t="s">
        <v>102</v>
      </c>
      <c r="EN35" s="2"/>
      <c r="EO35" s="2" t="s">
        <v>3</v>
      </c>
      <c r="EP35" s="2"/>
      <c r="EQ35" s="2">
        <v>0</v>
      </c>
      <c r="ER35" s="2">
        <v>565.20000000000005</v>
      </c>
      <c r="ES35" s="2">
        <v>565.20000000000005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v>0</v>
      </c>
      <c r="FS35" s="2">
        <v>0</v>
      </c>
      <c r="FT35" s="2"/>
      <c r="FU35" s="2"/>
      <c r="FV35" s="2"/>
      <c r="FW35" s="2"/>
      <c r="FX35" s="2">
        <v>147</v>
      </c>
      <c r="FY35" s="2">
        <v>134</v>
      </c>
      <c r="FZ35" s="2"/>
      <c r="GA35" s="2" t="s">
        <v>3</v>
      </c>
      <c r="GB35" s="2"/>
      <c r="GC35" s="2"/>
      <c r="GD35" s="2">
        <v>1</v>
      </c>
      <c r="GE35" s="2"/>
      <c r="GF35" s="2">
        <v>-1999093471</v>
      </c>
      <c r="GG35" s="2">
        <v>2</v>
      </c>
      <c r="GH35" s="2">
        <v>1</v>
      </c>
      <c r="GI35" s="2">
        <v>2</v>
      </c>
      <c r="GJ35" s="2">
        <v>0</v>
      </c>
      <c r="GK35" s="2">
        <v>0</v>
      </c>
      <c r="GL35" s="2">
        <f t="shared" si="14"/>
        <v>0</v>
      </c>
      <c r="GM35" s="2">
        <f t="shared" si="31"/>
        <v>10032.299999999999</v>
      </c>
      <c r="GN35" s="2">
        <f t="shared" si="15"/>
        <v>10032.299999999999</v>
      </c>
      <c r="GO35" s="2">
        <f t="shared" si="16"/>
        <v>0</v>
      </c>
      <c r="GP35" s="2">
        <f t="shared" si="17"/>
        <v>0</v>
      </c>
      <c r="GQ35" s="2"/>
      <c r="GR35" s="2">
        <v>0</v>
      </c>
      <c r="GS35" s="2">
        <v>0</v>
      </c>
      <c r="GT35" s="2">
        <v>0</v>
      </c>
      <c r="GU35" s="2" t="s">
        <v>3</v>
      </c>
      <c r="GV35" s="2">
        <f t="shared" si="32"/>
        <v>0</v>
      </c>
      <c r="GW35" s="2">
        <v>1</v>
      </c>
      <c r="GX35" s="2">
        <f t="shared" si="33"/>
        <v>0</v>
      </c>
      <c r="GY35" s="2"/>
      <c r="GZ35" s="2"/>
      <c r="HA35" s="2">
        <v>0</v>
      </c>
      <c r="HB35" s="2">
        <v>0</v>
      </c>
      <c r="HC35" s="2">
        <f t="shared" si="34"/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3</v>
      </c>
      <c r="HN35" s="2" t="s">
        <v>103</v>
      </c>
      <c r="HO35" s="2" t="s">
        <v>104</v>
      </c>
      <c r="HP35" s="2" t="s">
        <v>101</v>
      </c>
      <c r="HQ35" s="2" t="s">
        <v>101</v>
      </c>
      <c r="HR35" s="2"/>
      <c r="HS35" s="2">
        <v>0</v>
      </c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ht="409.5">
      <c r="A36" s="2">
        <v>17</v>
      </c>
      <c r="B36" s="2">
        <v>1</v>
      </c>
      <c r="C36" s="2">
        <f>ROW(SmtRes!A37)</f>
        <v>37</v>
      </c>
      <c r="D36" s="2">
        <f>ROW(EtalonRes!A39)</f>
        <v>39</v>
      </c>
      <c r="E36" s="2" t="s">
        <v>109</v>
      </c>
      <c r="F36" s="2" t="s">
        <v>110</v>
      </c>
      <c r="G36" s="2" t="s">
        <v>111</v>
      </c>
      <c r="H36" s="2" t="s">
        <v>50</v>
      </c>
      <c r="I36" s="2">
        <f>ROUND(5/100,7)</f>
        <v>0.05</v>
      </c>
      <c r="J36" s="2">
        <v>0</v>
      </c>
      <c r="K36" s="2">
        <f>ROUND(5/100,7)</f>
        <v>0.05</v>
      </c>
      <c r="L36" s="2"/>
      <c r="M36" s="2"/>
      <c r="N36" s="2"/>
      <c r="O36" s="2">
        <f t="shared" si="18"/>
        <v>3171.27</v>
      </c>
      <c r="P36" s="2">
        <f>SUMIF(SmtRes!AQ34:'SmtRes'!AQ37,"=1",SmtRes!DF34:'SmtRes'!DF37)</f>
        <v>0</v>
      </c>
      <c r="Q36" s="2">
        <f>SUMIF(SmtRes!AQ34:'SmtRes'!AQ37,"=1",SmtRes!DG34:'SmtRes'!DG37)</f>
        <v>191.46</v>
      </c>
      <c r="R36" s="2">
        <f>SUMIF(SmtRes!AQ34:'SmtRes'!AQ37,"=1",SmtRes!DH34:'SmtRes'!DH37)</f>
        <v>130.22999999999999</v>
      </c>
      <c r="S36" s="2">
        <f>SUMIF(SmtRes!AQ34:'SmtRes'!AQ37,"=1",SmtRes!DI34:'SmtRes'!DI37)</f>
        <v>2849.58</v>
      </c>
      <c r="T36" s="2">
        <f t="shared" si="19"/>
        <v>0</v>
      </c>
      <c r="U36" s="2">
        <f>SUMIF(SmtRes!AQ34:'SmtRes'!AQ37,"=1",SmtRes!CV34:'SmtRes'!CV37)</f>
        <v>8.5036749999999994</v>
      </c>
      <c r="V36" s="2">
        <f>SUMIF(SmtRes!AQ34:'SmtRes'!AQ37,"=1",SmtRes!CW34:'SmtRes'!CW37)</f>
        <v>0.330625</v>
      </c>
      <c r="W36" s="2">
        <f t="shared" si="20"/>
        <v>0</v>
      </c>
      <c r="X36" s="2">
        <f t="shared" si="21"/>
        <v>3942.29</v>
      </c>
      <c r="Y36" s="2">
        <f t="shared" si="22"/>
        <v>3394</v>
      </c>
      <c r="Z36" s="2"/>
      <c r="AA36" s="2">
        <v>46261364</v>
      </c>
      <c r="AB36" s="2">
        <f t="shared" si="23"/>
        <v>60820.862475000002</v>
      </c>
      <c r="AC36" s="2">
        <f>ROUND((0),6)</f>
        <v>0</v>
      </c>
      <c r="AD36" s="2">
        <f>ROUND((((SUM(SmtRes!BR34:'SmtRes'!BR37))-(SUM(SmtRes!BS34:'SmtRes'!BS37)))+AE36),6)</f>
        <v>3829.2326250000001</v>
      </c>
      <c r="AE36" s="2">
        <f>ROUND((SUM(SmtRes!BS34:'SmtRes'!BS37)),6)</f>
        <v>2604.5976249999999</v>
      </c>
      <c r="AF36" s="2">
        <f>ROUND((SUM(SmtRes!BT34:'SmtRes'!BT37)),6)</f>
        <v>56991.629849999998</v>
      </c>
      <c r="AG36" s="2">
        <f t="shared" si="24"/>
        <v>0</v>
      </c>
      <c r="AH36" s="2">
        <f>(SUM(SmtRes!BU34:'SmtRes'!BU37))</f>
        <v>170.07349999999997</v>
      </c>
      <c r="AI36" s="2">
        <f>(SUM(SmtRes!BV34:'SmtRes'!BV37))</f>
        <v>6.6124999999999989</v>
      </c>
      <c r="AJ36" s="2">
        <f t="shared" si="25"/>
        <v>0</v>
      </c>
      <c r="AK36" s="2">
        <v>47569.567999999999</v>
      </c>
      <c r="AL36" s="2">
        <v>0</v>
      </c>
      <c r="AM36" s="2">
        <v>2663.8139999999999</v>
      </c>
      <c r="AN36" s="2">
        <v>1811.8939999999998</v>
      </c>
      <c r="AO36" s="2">
        <v>43093.86</v>
      </c>
      <c r="AP36" s="2">
        <v>0</v>
      </c>
      <c r="AQ36" s="2">
        <v>128.6</v>
      </c>
      <c r="AR36" s="2">
        <v>4.5999999999999996</v>
      </c>
      <c r="AS36" s="2">
        <v>0</v>
      </c>
      <c r="AT36" s="2">
        <v>132.30000000000001</v>
      </c>
      <c r="AU36" s="2">
        <v>113.9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1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0</v>
      </c>
      <c r="BI36" s="2">
        <v>1</v>
      </c>
      <c r="BJ36" s="2" t="s">
        <v>112</v>
      </c>
      <c r="BK36" s="2"/>
      <c r="BL36" s="2"/>
      <c r="BM36" s="2">
        <v>27001</v>
      </c>
      <c r="BN36" s="2">
        <v>0</v>
      </c>
      <c r="BO36" s="2" t="s">
        <v>3</v>
      </c>
      <c r="BP36" s="2">
        <v>0</v>
      </c>
      <c r="BQ36" s="2">
        <v>2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147</v>
      </c>
      <c r="CA36" s="2">
        <v>134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/>
      <c r="CI36" s="2"/>
      <c r="CJ36" s="2"/>
      <c r="CK36" s="2"/>
      <c r="CL36" s="2"/>
      <c r="CM36" s="2">
        <v>0</v>
      </c>
      <c r="CN36" s="7" t="s">
        <v>383</v>
      </c>
      <c r="CO36" s="2">
        <v>0</v>
      </c>
      <c r="CP36" s="2">
        <f t="shared" si="26"/>
        <v>3171.27</v>
      </c>
      <c r="CQ36" s="2">
        <f>SUMIF(SmtRes!AQ34:'SmtRes'!AQ37,"=1",SmtRes!AA34:'SmtRes'!AA37)</f>
        <v>0</v>
      </c>
      <c r="CR36" s="2">
        <f>SUMIF(SmtRes!AQ34:'SmtRes'!AQ37,"=1",SmtRes!AB34:'SmtRes'!AB37)</f>
        <v>579.09</v>
      </c>
      <c r="CS36" s="2">
        <f>SUMIF(SmtRes!AQ34:'SmtRes'!AQ37,"=1",SmtRes!AC34:'SmtRes'!AC37)</f>
        <v>393.89</v>
      </c>
      <c r="CT36" s="2">
        <f>SUMIF(SmtRes!AQ34:'SmtRes'!AQ37,"=1",SmtRes!AD34:'SmtRes'!AD37)</f>
        <v>335.1</v>
      </c>
      <c r="CU36" s="2">
        <f t="shared" si="27"/>
        <v>0</v>
      </c>
      <c r="CV36" s="2">
        <f>SUMIF(SmtRes!AQ34:'SmtRes'!AQ37,"=1",SmtRes!BU34:'SmtRes'!BU37)</f>
        <v>170.07349999999997</v>
      </c>
      <c r="CW36" s="2">
        <f>SUMIF(SmtRes!AQ34:'SmtRes'!AQ37,"=1",SmtRes!BV34:'SmtRes'!BV37)</f>
        <v>6.6124999999999989</v>
      </c>
      <c r="CX36" s="2">
        <f t="shared" si="28"/>
        <v>0</v>
      </c>
      <c r="CY36" s="2">
        <f t="shared" si="29"/>
        <v>3942.28863</v>
      </c>
      <c r="CZ36" s="2">
        <f t="shared" si="30"/>
        <v>3394.0035899999998</v>
      </c>
      <c r="DA36" s="2"/>
      <c r="DB36" s="2">
        <v>6</v>
      </c>
      <c r="DC36" s="2" t="s">
        <v>3</v>
      </c>
      <c r="DD36" s="2" t="s">
        <v>3</v>
      </c>
      <c r="DE36" s="2" t="s">
        <v>81</v>
      </c>
      <c r="DF36" s="2" t="s">
        <v>81</v>
      </c>
      <c r="DG36" s="2" t="s">
        <v>82</v>
      </c>
      <c r="DH36" s="2" t="s">
        <v>3</v>
      </c>
      <c r="DI36" s="2" t="s">
        <v>82</v>
      </c>
      <c r="DJ36" s="2" t="s">
        <v>81</v>
      </c>
      <c r="DK36" s="2" t="s">
        <v>3</v>
      </c>
      <c r="DL36" s="2" t="s">
        <v>66</v>
      </c>
      <c r="DM36" s="2" t="s">
        <v>67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1007</v>
      </c>
      <c r="DV36" s="2" t="s">
        <v>50</v>
      </c>
      <c r="DW36" s="2" t="s">
        <v>50</v>
      </c>
      <c r="DX36" s="2">
        <v>100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44474057</v>
      </c>
      <c r="EF36" s="2">
        <v>2</v>
      </c>
      <c r="EG36" s="2" t="s">
        <v>30</v>
      </c>
      <c r="EH36" s="2">
        <v>21</v>
      </c>
      <c r="EI36" s="2" t="s">
        <v>101</v>
      </c>
      <c r="EJ36" s="2">
        <v>1</v>
      </c>
      <c r="EK36" s="2">
        <v>27001</v>
      </c>
      <c r="EL36" s="2" t="s">
        <v>101</v>
      </c>
      <c r="EM36" s="2" t="s">
        <v>102</v>
      </c>
      <c r="EN36" s="2"/>
      <c r="EO36" s="2" t="s">
        <v>57</v>
      </c>
      <c r="EP36" s="2"/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128.6</v>
      </c>
      <c r="EX36" s="2">
        <v>4.5999999999999996</v>
      </c>
      <c r="EY36" s="2">
        <v>0</v>
      </c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v>0</v>
      </c>
      <c r="FS36" s="2">
        <v>0</v>
      </c>
      <c r="FT36" s="2"/>
      <c r="FU36" s="2"/>
      <c r="FV36" s="2"/>
      <c r="FW36" s="2"/>
      <c r="FX36" s="2">
        <v>132.30000000000001</v>
      </c>
      <c r="FY36" s="2">
        <v>113.9</v>
      </c>
      <c r="FZ36" s="2"/>
      <c r="GA36" s="2" t="s">
        <v>3</v>
      </c>
      <c r="GB36" s="2"/>
      <c r="GC36" s="2"/>
      <c r="GD36" s="2">
        <v>1</v>
      </c>
      <c r="GE36" s="2"/>
      <c r="GF36" s="2">
        <v>-467386927</v>
      </c>
      <c r="GG36" s="2">
        <v>2</v>
      </c>
      <c r="GH36" s="2">
        <v>1</v>
      </c>
      <c r="GI36" s="2">
        <v>-2</v>
      </c>
      <c r="GJ36" s="2">
        <v>0</v>
      </c>
      <c r="GK36" s="2">
        <v>0</v>
      </c>
      <c r="GL36" s="2">
        <f t="shared" si="14"/>
        <v>0</v>
      </c>
      <c r="GM36" s="2">
        <f t="shared" si="31"/>
        <v>10507.56</v>
      </c>
      <c r="GN36" s="2">
        <f t="shared" si="15"/>
        <v>10507.56</v>
      </c>
      <c r="GO36" s="2">
        <f t="shared" si="16"/>
        <v>0</v>
      </c>
      <c r="GP36" s="2">
        <f t="shared" si="17"/>
        <v>0</v>
      </c>
      <c r="GQ36" s="2"/>
      <c r="GR36" s="2">
        <v>0</v>
      </c>
      <c r="GS36" s="2">
        <v>0</v>
      </c>
      <c r="GT36" s="2">
        <v>0</v>
      </c>
      <c r="GU36" s="2" t="s">
        <v>3</v>
      </c>
      <c r="GV36" s="2">
        <f t="shared" si="32"/>
        <v>0</v>
      </c>
      <c r="GW36" s="2">
        <v>1</v>
      </c>
      <c r="GX36" s="2">
        <f t="shared" si="33"/>
        <v>0</v>
      </c>
      <c r="GY36" s="2"/>
      <c r="GZ36" s="2"/>
      <c r="HA36" s="2">
        <v>0</v>
      </c>
      <c r="HB36" s="2">
        <v>0</v>
      </c>
      <c r="HC36" s="2">
        <f t="shared" si="34"/>
        <v>0</v>
      </c>
      <c r="HD36" s="2"/>
      <c r="HE36" s="2" t="s">
        <v>3</v>
      </c>
      <c r="HF36" s="2" t="s">
        <v>3</v>
      </c>
      <c r="HG36" s="2"/>
      <c r="HH36" s="2"/>
      <c r="HI36" s="2"/>
      <c r="HJ36" s="2"/>
      <c r="HK36" s="2"/>
      <c r="HL36" s="2"/>
      <c r="HM36" s="2" t="s">
        <v>3</v>
      </c>
      <c r="HN36" s="2" t="s">
        <v>103</v>
      </c>
      <c r="HO36" s="2" t="s">
        <v>104</v>
      </c>
      <c r="HP36" s="2" t="s">
        <v>101</v>
      </c>
      <c r="HQ36" s="2" t="s">
        <v>101</v>
      </c>
      <c r="HR36" s="2"/>
      <c r="HS36" s="2">
        <v>0</v>
      </c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>
      <c r="A37" s="2">
        <v>18</v>
      </c>
      <c r="B37" s="2">
        <v>1</v>
      </c>
      <c r="C37" s="2">
        <v>37</v>
      </c>
      <c r="D37" s="2"/>
      <c r="E37" s="2" t="s">
        <v>113</v>
      </c>
      <c r="F37" s="2" t="s">
        <v>114</v>
      </c>
      <c r="G37" s="2" t="s">
        <v>115</v>
      </c>
      <c r="H37" s="2" t="s">
        <v>75</v>
      </c>
      <c r="I37" s="2">
        <f>I36*J37</f>
        <v>5</v>
      </c>
      <c r="J37" s="2">
        <v>100</v>
      </c>
      <c r="K37" s="2">
        <v>100</v>
      </c>
      <c r="L37" s="2"/>
      <c r="M37" s="2"/>
      <c r="N37" s="2"/>
      <c r="O37" s="2">
        <f t="shared" si="18"/>
        <v>37466.800000000003</v>
      </c>
      <c r="P37" s="2">
        <f>ROUND(CQ37*I37,2)</f>
        <v>37466.800000000003</v>
      </c>
      <c r="Q37" s="2">
        <f>ROUND(CR37*I37,2)</f>
        <v>0</v>
      </c>
      <c r="R37" s="2">
        <f>ROUND(CS37*I37,2)</f>
        <v>0</v>
      </c>
      <c r="S37" s="2">
        <f>ROUND(CT37*I37,2)</f>
        <v>0</v>
      </c>
      <c r="T37" s="2">
        <f t="shared" si="19"/>
        <v>0</v>
      </c>
      <c r="U37" s="2">
        <f>ROUND(CV37*I37,7)</f>
        <v>0</v>
      </c>
      <c r="V37" s="2">
        <f>ROUND(CW37*I37,7)</f>
        <v>0</v>
      </c>
      <c r="W37" s="2">
        <f t="shared" si="20"/>
        <v>0</v>
      </c>
      <c r="X37" s="2">
        <f t="shared" si="21"/>
        <v>0</v>
      </c>
      <c r="Y37" s="2">
        <f t="shared" si="22"/>
        <v>0</v>
      </c>
      <c r="Z37" s="2"/>
      <c r="AA37" s="2">
        <v>46261364</v>
      </c>
      <c r="AB37" s="2">
        <f t="shared" si="23"/>
        <v>5240.1099999999997</v>
      </c>
      <c r="AC37" s="2">
        <f>ROUND((ES37),6)</f>
        <v>5240.1099999999997</v>
      </c>
      <c r="AD37" s="2">
        <f>ROUND((((ET37)-(EU37))+AE37),6)</f>
        <v>0</v>
      </c>
      <c r="AE37" s="2">
        <f>ROUND((EU37),6)</f>
        <v>0</v>
      </c>
      <c r="AF37" s="2">
        <f>ROUND((EV37),6)</f>
        <v>0</v>
      </c>
      <c r="AG37" s="2">
        <f t="shared" si="24"/>
        <v>0</v>
      </c>
      <c r="AH37" s="2">
        <f>(EW37)</f>
        <v>0</v>
      </c>
      <c r="AI37" s="2">
        <f>(EX37)</f>
        <v>0</v>
      </c>
      <c r="AJ37" s="2">
        <f t="shared" si="25"/>
        <v>0</v>
      </c>
      <c r="AK37" s="2">
        <v>5240.1099999999997</v>
      </c>
      <c r="AL37" s="2">
        <v>5240.1099999999997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147</v>
      </c>
      <c r="AU37" s="2">
        <v>134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1.43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3</v>
      </c>
      <c r="BI37" s="2">
        <v>1</v>
      </c>
      <c r="BJ37" s="2" t="s">
        <v>116</v>
      </c>
      <c r="BK37" s="2"/>
      <c r="BL37" s="2"/>
      <c r="BM37" s="2">
        <v>27001</v>
      </c>
      <c r="BN37" s="2">
        <v>0</v>
      </c>
      <c r="BO37" s="2" t="s">
        <v>114</v>
      </c>
      <c r="BP37" s="2">
        <v>1</v>
      </c>
      <c r="BQ37" s="2">
        <v>2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147</v>
      </c>
      <c r="CA37" s="2">
        <v>134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2" t="s">
        <v>3</v>
      </c>
      <c r="CO37" s="2">
        <v>0</v>
      </c>
      <c r="CP37" s="2">
        <f t="shared" si="26"/>
        <v>37466.800000000003</v>
      </c>
      <c r="CQ37" s="2">
        <f>ROUND(AL37*BC37,2)</f>
        <v>7493.36</v>
      </c>
      <c r="CR37" s="2">
        <f>ROUND(AM37*BB37,2)</f>
        <v>0</v>
      </c>
      <c r="CS37" s="2">
        <f>ROUND(AN37*BS37,2)</f>
        <v>0</v>
      </c>
      <c r="CT37" s="2">
        <f>ROUND(AO37*BA37,2)</f>
        <v>0</v>
      </c>
      <c r="CU37" s="2">
        <f t="shared" si="27"/>
        <v>0</v>
      </c>
      <c r="CV37" s="2">
        <f>AH37</f>
        <v>0</v>
      </c>
      <c r="CW37" s="2">
        <f>AI37</f>
        <v>0</v>
      </c>
      <c r="CX37" s="2">
        <f t="shared" si="28"/>
        <v>0</v>
      </c>
      <c r="CY37" s="2">
        <f t="shared" si="29"/>
        <v>0</v>
      </c>
      <c r="CZ37" s="2">
        <f t="shared" si="30"/>
        <v>0</v>
      </c>
      <c r="DA37" s="2"/>
      <c r="DB37" s="2"/>
      <c r="DC37" s="2" t="s">
        <v>3</v>
      </c>
      <c r="DD37" s="2" t="s">
        <v>3</v>
      </c>
      <c r="DE37" s="2" t="s">
        <v>3</v>
      </c>
      <c r="DF37" s="2" t="s">
        <v>3</v>
      </c>
      <c r="DG37" s="2" t="s">
        <v>3</v>
      </c>
      <c r="DH37" s="2" t="s">
        <v>3</v>
      </c>
      <c r="DI37" s="2" t="s">
        <v>3</v>
      </c>
      <c r="DJ37" s="2" t="s">
        <v>3</v>
      </c>
      <c r="DK37" s="2" t="s">
        <v>3</v>
      </c>
      <c r="DL37" s="2" t="s">
        <v>3</v>
      </c>
      <c r="DM37" s="2" t="s">
        <v>3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1007</v>
      </c>
      <c r="DV37" s="2" t="s">
        <v>75</v>
      </c>
      <c r="DW37" s="2" t="s">
        <v>75</v>
      </c>
      <c r="DX37" s="2">
        <v>1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44474057</v>
      </c>
      <c r="EF37" s="2">
        <v>2</v>
      </c>
      <c r="EG37" s="2" t="s">
        <v>30</v>
      </c>
      <c r="EH37" s="2">
        <v>21</v>
      </c>
      <c r="EI37" s="2" t="s">
        <v>101</v>
      </c>
      <c r="EJ37" s="2">
        <v>1</v>
      </c>
      <c r="EK37" s="2">
        <v>27001</v>
      </c>
      <c r="EL37" s="2" t="s">
        <v>101</v>
      </c>
      <c r="EM37" s="2" t="s">
        <v>102</v>
      </c>
      <c r="EN37" s="2"/>
      <c r="EO37" s="2" t="s">
        <v>3</v>
      </c>
      <c r="EP37" s="2"/>
      <c r="EQ37" s="2">
        <v>0</v>
      </c>
      <c r="ER37" s="2">
        <v>5240.1099999999997</v>
      </c>
      <c r="ES37" s="2">
        <v>5240.1099999999997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v>0</v>
      </c>
      <c r="FS37" s="2">
        <v>0</v>
      </c>
      <c r="FT37" s="2"/>
      <c r="FU37" s="2"/>
      <c r="FV37" s="2"/>
      <c r="FW37" s="2"/>
      <c r="FX37" s="2">
        <v>147</v>
      </c>
      <c r="FY37" s="2">
        <v>134</v>
      </c>
      <c r="FZ37" s="2"/>
      <c r="GA37" s="2" t="s">
        <v>3</v>
      </c>
      <c r="GB37" s="2"/>
      <c r="GC37" s="2"/>
      <c r="GD37" s="2">
        <v>1</v>
      </c>
      <c r="GE37" s="2"/>
      <c r="GF37" s="2">
        <v>-644495519</v>
      </c>
      <c r="GG37" s="2">
        <v>2</v>
      </c>
      <c r="GH37" s="2">
        <v>1</v>
      </c>
      <c r="GI37" s="2">
        <v>2</v>
      </c>
      <c r="GJ37" s="2">
        <v>0</v>
      </c>
      <c r="GK37" s="2">
        <v>0</v>
      </c>
      <c r="GL37" s="2">
        <f t="shared" si="14"/>
        <v>0</v>
      </c>
      <c r="GM37" s="2">
        <f t="shared" si="31"/>
        <v>37466.800000000003</v>
      </c>
      <c r="GN37" s="2">
        <f t="shared" si="15"/>
        <v>37466.800000000003</v>
      </c>
      <c r="GO37" s="2">
        <f t="shared" si="16"/>
        <v>0</v>
      </c>
      <c r="GP37" s="2">
        <f t="shared" si="17"/>
        <v>0</v>
      </c>
      <c r="GQ37" s="2"/>
      <c r="GR37" s="2">
        <v>0</v>
      </c>
      <c r="GS37" s="2">
        <v>0</v>
      </c>
      <c r="GT37" s="2">
        <v>0</v>
      </c>
      <c r="GU37" s="2" t="s">
        <v>3</v>
      </c>
      <c r="GV37" s="2">
        <f t="shared" si="32"/>
        <v>0</v>
      </c>
      <c r="GW37" s="2">
        <v>1</v>
      </c>
      <c r="GX37" s="2">
        <f t="shared" si="33"/>
        <v>0</v>
      </c>
      <c r="GY37" s="2"/>
      <c r="GZ37" s="2"/>
      <c r="HA37" s="2">
        <v>0</v>
      </c>
      <c r="HB37" s="2">
        <v>0</v>
      </c>
      <c r="HC37" s="2">
        <f t="shared" si="34"/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103</v>
      </c>
      <c r="HO37" s="2" t="s">
        <v>104</v>
      </c>
      <c r="HP37" s="2" t="s">
        <v>101</v>
      </c>
      <c r="HQ37" s="2" t="s">
        <v>101</v>
      </c>
      <c r="HR37" s="2"/>
      <c r="HS37" s="2">
        <v>0</v>
      </c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ht="409.5">
      <c r="A38" s="2">
        <v>17</v>
      </c>
      <c r="B38" s="2">
        <v>1</v>
      </c>
      <c r="C38" s="2">
        <f>ROW(SmtRes!A43)</f>
        <v>43</v>
      </c>
      <c r="D38" s="2">
        <f>ROW(EtalonRes!A45)</f>
        <v>45</v>
      </c>
      <c r="E38" s="2" t="s">
        <v>117</v>
      </c>
      <c r="F38" s="2" t="s">
        <v>118</v>
      </c>
      <c r="G38" s="2" t="s">
        <v>119</v>
      </c>
      <c r="H38" s="2" t="s">
        <v>90</v>
      </c>
      <c r="I38" s="2">
        <v>0.1022</v>
      </c>
      <c r="J38" s="2">
        <v>0</v>
      </c>
      <c r="K38" s="2">
        <v>0.1022</v>
      </c>
      <c r="L38" s="2"/>
      <c r="M38" s="2"/>
      <c r="N38" s="2"/>
      <c r="O38" s="2">
        <f t="shared" si="18"/>
        <v>872.63</v>
      </c>
      <c r="P38" s="2">
        <f>SUMIF(SmtRes!AQ38:'SmtRes'!AQ43,"=1",SmtRes!DF38:'SmtRes'!DF43)</f>
        <v>226.12</v>
      </c>
      <c r="Q38" s="2">
        <f>SUMIF(SmtRes!AQ38:'SmtRes'!AQ43,"=1",SmtRes!DG38:'SmtRes'!DG43)</f>
        <v>54.099999999999994</v>
      </c>
      <c r="R38" s="2">
        <f>SUMIF(SmtRes!AQ38:'SmtRes'!AQ43,"=1",SmtRes!DH38:'SmtRes'!DH43)</f>
        <v>23.23</v>
      </c>
      <c r="S38" s="2">
        <f>SUMIF(SmtRes!AQ38:'SmtRes'!AQ43,"=1",SmtRes!DI38:'SmtRes'!DI43)</f>
        <v>569.17999999999995</v>
      </c>
      <c r="T38" s="2">
        <f t="shared" si="19"/>
        <v>0</v>
      </c>
      <c r="U38" s="2">
        <f>SUMIF(SmtRes!AQ38:'SmtRes'!AQ43,"=1",SmtRes!CV38:'SmtRes'!CV43)</f>
        <v>1.5678502000000001</v>
      </c>
      <c r="V38" s="2">
        <f>SUMIF(SmtRes!AQ38:'SmtRes'!AQ43,"=1",SmtRes!CW38:'SmtRes'!CW43)</f>
        <v>5.1419400000000004E-2</v>
      </c>
      <c r="W38" s="2">
        <f t="shared" si="20"/>
        <v>0</v>
      </c>
      <c r="X38" s="2">
        <f t="shared" si="21"/>
        <v>543.83000000000004</v>
      </c>
      <c r="Y38" s="2">
        <f t="shared" si="22"/>
        <v>292.06</v>
      </c>
      <c r="Z38" s="2"/>
      <c r="AA38" s="2">
        <v>46261364</v>
      </c>
      <c r="AB38" s="2">
        <f t="shared" si="23"/>
        <v>8584.4709039999998</v>
      </c>
      <c r="AC38" s="2">
        <f>ROUND((SUM(SmtRes!BQ38:'SmtRes'!BQ43)),6)</f>
        <v>2485.9480800000001</v>
      </c>
      <c r="AD38" s="2">
        <f>ROUND((((SUM(SmtRes!BR38:'SmtRes'!BR43))-(SUM(SmtRes!BS38:'SmtRes'!BS43)))+AE38),6)</f>
        <v>529.27959399999997</v>
      </c>
      <c r="AE38" s="2">
        <f>ROUND((SUM(SmtRes!BS38:'SmtRes'!BS43)),6)</f>
        <v>227.332719</v>
      </c>
      <c r="AF38" s="2">
        <f>ROUND((SUM(SmtRes!BT38:'SmtRes'!BT43)),6)</f>
        <v>5569.24323</v>
      </c>
      <c r="AG38" s="2">
        <f t="shared" si="24"/>
        <v>0</v>
      </c>
      <c r="AH38" s="2">
        <f>(SUM(SmtRes!BU38:'SmtRes'!BU43))</f>
        <v>15.340999999999996</v>
      </c>
      <c r="AI38" s="2">
        <f>(SUM(SmtRes!BV38:'SmtRes'!BV43))</f>
        <v>0.50312499999999993</v>
      </c>
      <c r="AJ38" s="2">
        <f t="shared" si="25"/>
        <v>0</v>
      </c>
      <c r="AK38" s="2">
        <v>7223.4350799999993</v>
      </c>
      <c r="AL38" s="2">
        <v>2485.9480800000001</v>
      </c>
      <c r="AM38" s="2">
        <v>368.19450000000001</v>
      </c>
      <c r="AN38" s="2">
        <v>158.14449999999999</v>
      </c>
      <c r="AO38" s="2">
        <v>4211.1479999999992</v>
      </c>
      <c r="AP38" s="2">
        <v>0</v>
      </c>
      <c r="AQ38" s="2">
        <v>11.6</v>
      </c>
      <c r="AR38" s="2">
        <v>0.35</v>
      </c>
      <c r="AS38" s="2">
        <v>0</v>
      </c>
      <c r="AT38" s="2">
        <v>91.8</v>
      </c>
      <c r="AU38" s="2">
        <v>49.3</v>
      </c>
      <c r="AV38" s="2">
        <v>1</v>
      </c>
      <c r="AW38" s="2">
        <v>1</v>
      </c>
      <c r="AX38" s="2"/>
      <c r="AY38" s="2"/>
      <c r="AZ38" s="2">
        <v>1</v>
      </c>
      <c r="BA38" s="2">
        <v>1</v>
      </c>
      <c r="BB38" s="2">
        <v>1</v>
      </c>
      <c r="BC38" s="2">
        <v>1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0</v>
      </c>
      <c r="BI38" s="2">
        <v>1</v>
      </c>
      <c r="BJ38" s="2" t="s">
        <v>120</v>
      </c>
      <c r="BK38" s="2"/>
      <c r="BL38" s="2"/>
      <c r="BM38" s="2">
        <v>6001</v>
      </c>
      <c r="BN38" s="2">
        <v>0</v>
      </c>
      <c r="BO38" s="2" t="s">
        <v>3</v>
      </c>
      <c r="BP38" s="2">
        <v>0</v>
      </c>
      <c r="BQ38" s="2">
        <v>2</v>
      </c>
      <c r="BR38" s="2">
        <v>0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102</v>
      </c>
      <c r="CA38" s="2">
        <v>58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/>
      <c r="CI38" s="2"/>
      <c r="CJ38" s="2"/>
      <c r="CK38" s="2"/>
      <c r="CL38" s="2"/>
      <c r="CM38" s="2">
        <v>0</v>
      </c>
      <c r="CN38" s="7" t="s">
        <v>383</v>
      </c>
      <c r="CO38" s="2">
        <v>0</v>
      </c>
      <c r="CP38" s="2">
        <f t="shared" si="26"/>
        <v>872.63</v>
      </c>
      <c r="CQ38" s="2">
        <f>SUMIF(SmtRes!AQ38:'SmtRes'!AQ43,"=1",SmtRes!AA38:'SmtRes'!AA43)</f>
        <v>79017.64</v>
      </c>
      <c r="CR38" s="2">
        <f>SUMIF(SmtRes!AQ38:'SmtRes'!AQ43,"=1",SmtRes!AB38:'SmtRes'!AB43)</f>
        <v>2261.6</v>
      </c>
      <c r="CS38" s="2">
        <f>SUMIF(SmtRes!AQ38:'SmtRes'!AQ43,"=1",SmtRes!AC38:'SmtRes'!AC43)</f>
        <v>923</v>
      </c>
      <c r="CT38" s="2">
        <f>SUMIF(SmtRes!AQ38:'SmtRes'!AQ43,"=1",SmtRes!AD38:'SmtRes'!AD43)</f>
        <v>363.03</v>
      </c>
      <c r="CU38" s="2">
        <f t="shared" si="27"/>
        <v>0</v>
      </c>
      <c r="CV38" s="2">
        <f>SUMIF(SmtRes!AQ38:'SmtRes'!AQ43,"=1",SmtRes!BU38:'SmtRes'!BU43)</f>
        <v>15.340999999999996</v>
      </c>
      <c r="CW38" s="2">
        <f>SUMIF(SmtRes!AQ38:'SmtRes'!AQ43,"=1",SmtRes!BV38:'SmtRes'!BV43)</f>
        <v>0.50312499999999993</v>
      </c>
      <c r="CX38" s="2">
        <f t="shared" si="28"/>
        <v>0</v>
      </c>
      <c r="CY38" s="2">
        <f t="shared" si="29"/>
        <v>543.83237999999994</v>
      </c>
      <c r="CZ38" s="2">
        <f t="shared" si="30"/>
        <v>292.05813000000001</v>
      </c>
      <c r="DA38" s="2"/>
      <c r="DB38" s="2">
        <v>8</v>
      </c>
      <c r="DC38" s="2" t="s">
        <v>3</v>
      </c>
      <c r="DD38" s="2" t="s">
        <v>3</v>
      </c>
      <c r="DE38" s="2" t="s">
        <v>81</v>
      </c>
      <c r="DF38" s="2" t="s">
        <v>81</v>
      </c>
      <c r="DG38" s="2" t="s">
        <v>82</v>
      </c>
      <c r="DH38" s="2" t="s">
        <v>3</v>
      </c>
      <c r="DI38" s="2" t="s">
        <v>82</v>
      </c>
      <c r="DJ38" s="2" t="s">
        <v>81</v>
      </c>
      <c r="DK38" s="2" t="s">
        <v>3</v>
      </c>
      <c r="DL38" s="2" t="s">
        <v>66</v>
      </c>
      <c r="DM38" s="2" t="s">
        <v>67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1009</v>
      </c>
      <c r="DV38" s="2" t="s">
        <v>90</v>
      </c>
      <c r="DW38" s="2" t="s">
        <v>90</v>
      </c>
      <c r="DX38" s="2">
        <v>1000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44474003</v>
      </c>
      <c r="EF38" s="2">
        <v>2</v>
      </c>
      <c r="EG38" s="2" t="s">
        <v>30</v>
      </c>
      <c r="EH38" s="2">
        <v>6</v>
      </c>
      <c r="EI38" s="2" t="s">
        <v>121</v>
      </c>
      <c r="EJ38" s="2">
        <v>1</v>
      </c>
      <c r="EK38" s="2">
        <v>6001</v>
      </c>
      <c r="EL38" s="2" t="s">
        <v>121</v>
      </c>
      <c r="EM38" s="2" t="s">
        <v>122</v>
      </c>
      <c r="EN38" s="2"/>
      <c r="EO38" s="2" t="s">
        <v>57</v>
      </c>
      <c r="EP38" s="2"/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11.6</v>
      </c>
      <c r="EX38" s="2">
        <v>0.35</v>
      </c>
      <c r="EY38" s="2">
        <v>0</v>
      </c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v>0</v>
      </c>
      <c r="FS38" s="2">
        <v>0</v>
      </c>
      <c r="FT38" s="2"/>
      <c r="FU38" s="2"/>
      <c r="FV38" s="2"/>
      <c r="FW38" s="2"/>
      <c r="FX38" s="2">
        <v>91.8</v>
      </c>
      <c r="FY38" s="2">
        <v>49.3</v>
      </c>
      <c r="FZ38" s="2"/>
      <c r="GA38" s="2" t="s">
        <v>3</v>
      </c>
      <c r="GB38" s="2"/>
      <c r="GC38" s="2"/>
      <c r="GD38" s="2">
        <v>1</v>
      </c>
      <c r="GE38" s="2"/>
      <c r="GF38" s="2">
        <v>-1388632612</v>
      </c>
      <c r="GG38" s="2">
        <v>2</v>
      </c>
      <c r="GH38" s="2">
        <v>1</v>
      </c>
      <c r="GI38" s="2">
        <v>-2</v>
      </c>
      <c r="GJ38" s="2">
        <v>0</v>
      </c>
      <c r="GK38" s="2">
        <v>0</v>
      </c>
      <c r="GL38" s="2">
        <f t="shared" si="14"/>
        <v>0</v>
      </c>
      <c r="GM38" s="2">
        <f t="shared" si="31"/>
        <v>1708.52</v>
      </c>
      <c r="GN38" s="2">
        <f t="shared" si="15"/>
        <v>1708.52</v>
      </c>
      <c r="GO38" s="2">
        <f t="shared" si="16"/>
        <v>0</v>
      </c>
      <c r="GP38" s="2">
        <f t="shared" si="17"/>
        <v>0</v>
      </c>
      <c r="GQ38" s="2"/>
      <c r="GR38" s="2">
        <v>0</v>
      </c>
      <c r="GS38" s="2">
        <v>0</v>
      </c>
      <c r="GT38" s="2">
        <v>0</v>
      </c>
      <c r="GU38" s="2" t="s">
        <v>3</v>
      </c>
      <c r="GV38" s="2">
        <f t="shared" si="32"/>
        <v>0</v>
      </c>
      <c r="GW38" s="2">
        <v>1</v>
      </c>
      <c r="GX38" s="2">
        <f t="shared" si="33"/>
        <v>0</v>
      </c>
      <c r="GY38" s="2"/>
      <c r="GZ38" s="2"/>
      <c r="HA38" s="2">
        <v>0</v>
      </c>
      <c r="HB38" s="2">
        <v>0</v>
      </c>
      <c r="HC38" s="2">
        <f t="shared" si="34"/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123</v>
      </c>
      <c r="HO38" s="2" t="s">
        <v>124</v>
      </c>
      <c r="HP38" s="2" t="s">
        <v>121</v>
      </c>
      <c r="HQ38" s="2" t="s">
        <v>121</v>
      </c>
      <c r="HR38" s="2"/>
      <c r="HS38" s="2">
        <v>0</v>
      </c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>
      <c r="A39" s="2">
        <v>18</v>
      </c>
      <c r="B39" s="2">
        <v>1</v>
      </c>
      <c r="C39" s="2">
        <v>42</v>
      </c>
      <c r="D39" s="2"/>
      <c r="E39" s="2" t="s">
        <v>125</v>
      </c>
      <c r="F39" s="2" t="s">
        <v>126</v>
      </c>
      <c r="G39" s="2" t="s">
        <v>127</v>
      </c>
      <c r="H39" s="2" t="s">
        <v>128</v>
      </c>
      <c r="I39" s="2">
        <f>I38*J39</f>
        <v>50</v>
      </c>
      <c r="J39" s="2">
        <v>489.23679060665364</v>
      </c>
      <c r="K39" s="2">
        <v>489.23679060000001</v>
      </c>
      <c r="L39" s="2"/>
      <c r="M39" s="2"/>
      <c r="N39" s="2"/>
      <c r="O39" s="2">
        <f t="shared" si="18"/>
        <v>4906</v>
      </c>
      <c r="P39" s="2">
        <f>ROUND(CQ39*I39,2)</f>
        <v>4906</v>
      </c>
      <c r="Q39" s="2">
        <f>ROUND(CR39*I39,2)</f>
        <v>0</v>
      </c>
      <c r="R39" s="2">
        <f>ROUND(CS39*I39,2)</f>
        <v>0</v>
      </c>
      <c r="S39" s="2">
        <f>ROUND(CT39*I39,2)</f>
        <v>0</v>
      </c>
      <c r="T39" s="2">
        <f t="shared" si="19"/>
        <v>0</v>
      </c>
      <c r="U39" s="2">
        <f>ROUND(CV39*I39,7)</f>
        <v>0</v>
      </c>
      <c r="V39" s="2">
        <f>ROUND(CW39*I39,7)</f>
        <v>0</v>
      </c>
      <c r="W39" s="2">
        <f t="shared" si="20"/>
        <v>0</v>
      </c>
      <c r="X39" s="2">
        <f t="shared" si="21"/>
        <v>0</v>
      </c>
      <c r="Y39" s="2">
        <f t="shared" si="22"/>
        <v>0</v>
      </c>
      <c r="Z39" s="2"/>
      <c r="AA39" s="2">
        <v>46261364</v>
      </c>
      <c r="AB39" s="2">
        <f t="shared" si="23"/>
        <v>93.45</v>
      </c>
      <c r="AC39" s="2">
        <f>ROUND((ES39),6)</f>
        <v>93.45</v>
      </c>
      <c r="AD39" s="2">
        <f>ROUND((((ET39)-(EU39))+AE39),6)</f>
        <v>0</v>
      </c>
      <c r="AE39" s="2">
        <f>ROUND((EU39),6)</f>
        <v>0</v>
      </c>
      <c r="AF39" s="2">
        <f>ROUND((EV39),6)</f>
        <v>0</v>
      </c>
      <c r="AG39" s="2">
        <f t="shared" si="24"/>
        <v>0</v>
      </c>
      <c r="AH39" s="2">
        <f>(EW39)</f>
        <v>0</v>
      </c>
      <c r="AI39" s="2">
        <f>(EX39)</f>
        <v>0</v>
      </c>
      <c r="AJ39" s="2">
        <f t="shared" si="25"/>
        <v>0</v>
      </c>
      <c r="AK39" s="2">
        <v>93.45</v>
      </c>
      <c r="AL39" s="2">
        <v>93.45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102</v>
      </c>
      <c r="AU39" s="2">
        <v>58</v>
      </c>
      <c r="AV39" s="2">
        <v>1</v>
      </c>
      <c r="AW39" s="2">
        <v>1</v>
      </c>
      <c r="AX39" s="2"/>
      <c r="AY39" s="2"/>
      <c r="AZ39" s="2">
        <v>1</v>
      </c>
      <c r="BA39" s="2">
        <v>1</v>
      </c>
      <c r="BB39" s="2">
        <v>1</v>
      </c>
      <c r="BC39" s="2">
        <v>1.05</v>
      </c>
      <c r="BD39" s="2" t="s">
        <v>3</v>
      </c>
      <c r="BE39" s="2" t="s">
        <v>3</v>
      </c>
      <c r="BF39" s="2" t="s">
        <v>3</v>
      </c>
      <c r="BG39" s="2" t="s">
        <v>3</v>
      </c>
      <c r="BH39" s="2">
        <v>3</v>
      </c>
      <c r="BI39" s="2">
        <v>1</v>
      </c>
      <c r="BJ39" s="2" t="s">
        <v>129</v>
      </c>
      <c r="BK39" s="2"/>
      <c r="BL39" s="2"/>
      <c r="BM39" s="2">
        <v>6001</v>
      </c>
      <c r="BN39" s="2">
        <v>0</v>
      </c>
      <c r="BO39" s="2" t="s">
        <v>126</v>
      </c>
      <c r="BP39" s="2">
        <v>1</v>
      </c>
      <c r="BQ39" s="2">
        <v>2</v>
      </c>
      <c r="BR39" s="2">
        <v>0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 t="s">
        <v>3</v>
      </c>
      <c r="BZ39" s="2">
        <v>102</v>
      </c>
      <c r="CA39" s="2">
        <v>58</v>
      </c>
      <c r="CB39" s="2" t="s">
        <v>3</v>
      </c>
      <c r="CC39" s="2"/>
      <c r="CD39" s="2"/>
      <c r="CE39" s="2">
        <v>0</v>
      </c>
      <c r="CF39" s="2">
        <v>0</v>
      </c>
      <c r="CG39" s="2">
        <v>0</v>
      </c>
      <c r="CH39" s="2"/>
      <c r="CI39" s="2"/>
      <c r="CJ39" s="2"/>
      <c r="CK39" s="2"/>
      <c r="CL39" s="2"/>
      <c r="CM39" s="2">
        <v>0</v>
      </c>
      <c r="CN39" s="2" t="s">
        <v>3</v>
      </c>
      <c r="CO39" s="2">
        <v>0</v>
      </c>
      <c r="CP39" s="2">
        <f t="shared" si="26"/>
        <v>4906</v>
      </c>
      <c r="CQ39" s="2">
        <f>ROUND(AL39*BC39,2)</f>
        <v>98.12</v>
      </c>
      <c r="CR39" s="2">
        <f>ROUND(AM39*BB39,2)</f>
        <v>0</v>
      </c>
      <c r="CS39" s="2">
        <f>ROUND(AN39*BS39,2)</f>
        <v>0</v>
      </c>
      <c r="CT39" s="2">
        <f>ROUND(AO39*BA39,2)</f>
        <v>0</v>
      </c>
      <c r="CU39" s="2">
        <f t="shared" si="27"/>
        <v>0</v>
      </c>
      <c r="CV39" s="2">
        <f>AH39</f>
        <v>0</v>
      </c>
      <c r="CW39" s="2">
        <f>AI39</f>
        <v>0</v>
      </c>
      <c r="CX39" s="2">
        <f t="shared" si="28"/>
        <v>0</v>
      </c>
      <c r="CY39" s="2">
        <f t="shared" si="29"/>
        <v>0</v>
      </c>
      <c r="CZ39" s="2">
        <f t="shared" si="30"/>
        <v>0</v>
      </c>
      <c r="DA39" s="2"/>
      <c r="DB39" s="2"/>
      <c r="DC39" s="2" t="s">
        <v>3</v>
      </c>
      <c r="DD39" s="2" t="s">
        <v>3</v>
      </c>
      <c r="DE39" s="2" t="s">
        <v>3</v>
      </c>
      <c r="DF39" s="2" t="s">
        <v>3</v>
      </c>
      <c r="DG39" s="2" t="s">
        <v>3</v>
      </c>
      <c r="DH39" s="2" t="s">
        <v>3</v>
      </c>
      <c r="DI39" s="2" t="s">
        <v>3</v>
      </c>
      <c r="DJ39" s="2" t="s">
        <v>3</v>
      </c>
      <c r="DK39" s="2" t="s">
        <v>3</v>
      </c>
      <c r="DL39" s="2" t="s">
        <v>3</v>
      </c>
      <c r="DM39" s="2" t="s">
        <v>3</v>
      </c>
      <c r="DN39" s="2">
        <v>0</v>
      </c>
      <c r="DO39" s="2">
        <v>0</v>
      </c>
      <c r="DP39" s="2">
        <v>1</v>
      </c>
      <c r="DQ39" s="2">
        <v>1</v>
      </c>
      <c r="DR39" s="2"/>
      <c r="DS39" s="2"/>
      <c r="DT39" s="2"/>
      <c r="DU39" s="2">
        <v>1005</v>
      </c>
      <c r="DV39" s="2" t="s">
        <v>128</v>
      </c>
      <c r="DW39" s="2" t="s">
        <v>128</v>
      </c>
      <c r="DX39" s="2">
        <v>1</v>
      </c>
      <c r="DY39" s="2"/>
      <c r="DZ39" s="2" t="s">
        <v>3</v>
      </c>
      <c r="EA39" s="2" t="s">
        <v>3</v>
      </c>
      <c r="EB39" s="2" t="s">
        <v>3</v>
      </c>
      <c r="EC39" s="2" t="s">
        <v>3</v>
      </c>
      <c r="ED39" s="2"/>
      <c r="EE39" s="2">
        <v>44474003</v>
      </c>
      <c r="EF39" s="2">
        <v>2</v>
      </c>
      <c r="EG39" s="2" t="s">
        <v>30</v>
      </c>
      <c r="EH39" s="2">
        <v>6</v>
      </c>
      <c r="EI39" s="2" t="s">
        <v>121</v>
      </c>
      <c r="EJ39" s="2">
        <v>1</v>
      </c>
      <c r="EK39" s="2">
        <v>6001</v>
      </c>
      <c r="EL39" s="2" t="s">
        <v>121</v>
      </c>
      <c r="EM39" s="2" t="s">
        <v>122</v>
      </c>
      <c r="EN39" s="2"/>
      <c r="EO39" s="2" t="s">
        <v>3</v>
      </c>
      <c r="EP39" s="2"/>
      <c r="EQ39" s="2">
        <v>0</v>
      </c>
      <c r="ER39" s="2">
        <v>93.45</v>
      </c>
      <c r="ES39" s="2">
        <v>93.45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>
        <v>0</v>
      </c>
      <c r="FR39" s="2">
        <v>0</v>
      </c>
      <c r="FS39" s="2">
        <v>0</v>
      </c>
      <c r="FT39" s="2"/>
      <c r="FU39" s="2"/>
      <c r="FV39" s="2"/>
      <c r="FW39" s="2"/>
      <c r="FX39" s="2">
        <v>102</v>
      </c>
      <c r="FY39" s="2">
        <v>58</v>
      </c>
      <c r="FZ39" s="2"/>
      <c r="GA39" s="2" t="s">
        <v>3</v>
      </c>
      <c r="GB39" s="2"/>
      <c r="GC39" s="2"/>
      <c r="GD39" s="2">
        <v>1</v>
      </c>
      <c r="GE39" s="2"/>
      <c r="GF39" s="2">
        <v>24184885</v>
      </c>
      <c r="GG39" s="2">
        <v>2</v>
      </c>
      <c r="GH39" s="2">
        <v>1</v>
      </c>
      <c r="GI39" s="2">
        <v>2</v>
      </c>
      <c r="GJ39" s="2">
        <v>0</v>
      </c>
      <c r="GK39" s="2">
        <v>0</v>
      </c>
      <c r="GL39" s="2">
        <f t="shared" si="14"/>
        <v>0</v>
      </c>
      <c r="GM39" s="2">
        <f t="shared" si="31"/>
        <v>4906</v>
      </c>
      <c r="GN39" s="2">
        <f t="shared" si="15"/>
        <v>4906</v>
      </c>
      <c r="GO39" s="2">
        <f t="shared" si="16"/>
        <v>0</v>
      </c>
      <c r="GP39" s="2">
        <f t="shared" si="17"/>
        <v>0</v>
      </c>
      <c r="GQ39" s="2"/>
      <c r="GR39" s="2">
        <v>0</v>
      </c>
      <c r="GS39" s="2">
        <v>0</v>
      </c>
      <c r="GT39" s="2">
        <v>0</v>
      </c>
      <c r="GU39" s="2" t="s">
        <v>3</v>
      </c>
      <c r="GV39" s="2">
        <f t="shared" si="32"/>
        <v>0</v>
      </c>
      <c r="GW39" s="2">
        <v>1</v>
      </c>
      <c r="GX39" s="2">
        <f t="shared" si="33"/>
        <v>0</v>
      </c>
      <c r="GY39" s="2"/>
      <c r="GZ39" s="2"/>
      <c r="HA39" s="2">
        <v>0</v>
      </c>
      <c r="HB39" s="2">
        <v>0</v>
      </c>
      <c r="HC39" s="2">
        <f t="shared" si="34"/>
        <v>0</v>
      </c>
      <c r="HD39" s="2"/>
      <c r="HE39" s="2" t="s">
        <v>3</v>
      </c>
      <c r="HF39" s="2" t="s">
        <v>3</v>
      </c>
      <c r="HG39" s="2"/>
      <c r="HH39" s="2"/>
      <c r="HI39" s="2"/>
      <c r="HJ39" s="2"/>
      <c r="HK39" s="2"/>
      <c r="HL39" s="2"/>
      <c r="HM39" s="2" t="s">
        <v>3</v>
      </c>
      <c r="HN39" s="2" t="s">
        <v>123</v>
      </c>
      <c r="HO39" s="2" t="s">
        <v>124</v>
      </c>
      <c r="HP39" s="2" t="s">
        <v>121</v>
      </c>
      <c r="HQ39" s="2" t="s">
        <v>121</v>
      </c>
      <c r="HR39" s="2"/>
      <c r="HS39" s="2">
        <v>0</v>
      </c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ht="409.5">
      <c r="A40" s="2">
        <v>17</v>
      </c>
      <c r="B40" s="2">
        <v>1</v>
      </c>
      <c r="C40" s="2">
        <f>ROW(SmtRes!A51)</f>
        <v>51</v>
      </c>
      <c r="D40" s="2">
        <f>ROW(EtalonRes!A53)</f>
        <v>53</v>
      </c>
      <c r="E40" s="2" t="s">
        <v>130</v>
      </c>
      <c r="F40" s="2" t="s">
        <v>131</v>
      </c>
      <c r="G40" s="2" t="s">
        <v>132</v>
      </c>
      <c r="H40" s="2" t="s">
        <v>50</v>
      </c>
      <c r="I40" s="2">
        <f>ROUND(6.048/100,7)</f>
        <v>6.0479999999999999E-2</v>
      </c>
      <c r="J40" s="2">
        <v>0</v>
      </c>
      <c r="K40" s="2">
        <f>ROUND(6.048/100,7)</f>
        <v>6.0479999999999999E-2</v>
      </c>
      <c r="L40" s="2"/>
      <c r="M40" s="2"/>
      <c r="N40" s="2"/>
      <c r="O40" s="2">
        <f t="shared" si="18"/>
        <v>6255.23</v>
      </c>
      <c r="P40" s="2">
        <f>SUMIF(SmtRes!AQ44:'SmtRes'!AQ51,"=1",SmtRes!DF44:'SmtRes'!DF51)</f>
        <v>218.64000000000001</v>
      </c>
      <c r="Q40" s="2">
        <f>SUMIF(SmtRes!AQ44:'SmtRes'!AQ51,"=1",SmtRes!DG44:'SmtRes'!DG51)</f>
        <v>1744.7</v>
      </c>
      <c r="R40" s="2">
        <f>SUMIF(SmtRes!AQ44:'SmtRes'!AQ51,"=1",SmtRes!DH44:'SmtRes'!DH51)</f>
        <v>832.12</v>
      </c>
      <c r="S40" s="2">
        <f>SUMIF(SmtRes!AQ44:'SmtRes'!AQ51,"=1",SmtRes!DI44:'SmtRes'!DI51)</f>
        <v>3459.77</v>
      </c>
      <c r="T40" s="2">
        <f t="shared" si="19"/>
        <v>0</v>
      </c>
      <c r="U40" s="2">
        <f>SUMIF(SmtRes!AQ44:'SmtRes'!AQ51,"=1",SmtRes!CV44:'SmtRes'!CV51)</f>
        <v>10.797948</v>
      </c>
      <c r="V40" s="2">
        <f>SUMIF(SmtRes!AQ44:'SmtRes'!AQ51,"=1",SmtRes!CW44:'SmtRes'!CW51)</f>
        <v>1.5753528000000001</v>
      </c>
      <c r="W40" s="2">
        <f t="shared" si="20"/>
        <v>0</v>
      </c>
      <c r="X40" s="2">
        <f t="shared" si="21"/>
        <v>3939.96</v>
      </c>
      <c r="Y40" s="2">
        <f t="shared" si="22"/>
        <v>2115.9</v>
      </c>
      <c r="Z40" s="2"/>
      <c r="AA40" s="2">
        <v>46261364</v>
      </c>
      <c r="AB40" s="2">
        <f t="shared" si="23"/>
        <v>89263.822813000006</v>
      </c>
      <c r="AC40" s="2">
        <f>ROUND((SUM(SmtRes!BQ44:'SmtRes'!BQ51)),6)</f>
        <v>3269.9924999999998</v>
      </c>
      <c r="AD40" s="2">
        <f>ROUND((((SUM(SmtRes!BR44:'SmtRes'!BR51))-(SUM(SmtRes!BS44:'SmtRes'!BS51)))+AE40),6)</f>
        <v>28788.629937999998</v>
      </c>
      <c r="AE40" s="2">
        <f>ROUND((SUM(SmtRes!BS44:'SmtRes'!BS51)),6)</f>
        <v>13758.667275</v>
      </c>
      <c r="AF40" s="2">
        <f>ROUND((SUM(SmtRes!BT44:'SmtRes'!BT51)),6)</f>
        <v>57205.200375</v>
      </c>
      <c r="AG40" s="2">
        <f t="shared" si="24"/>
        <v>0</v>
      </c>
      <c r="AH40" s="2">
        <f>(SUM(SmtRes!BU44:'SmtRes'!BU51))</f>
        <v>178.53749999999999</v>
      </c>
      <c r="AI40" s="2">
        <f>(SUM(SmtRes!BV44:'SmtRes'!BV51))</f>
        <v>26.047499999999999</v>
      </c>
      <c r="AJ40" s="2">
        <f t="shared" si="25"/>
        <v>0</v>
      </c>
      <c r="AK40" s="2">
        <v>76123.462299999999</v>
      </c>
      <c r="AL40" s="2">
        <v>3269.9924999999998</v>
      </c>
      <c r="AM40" s="2">
        <v>20026.873</v>
      </c>
      <c r="AN40" s="2">
        <v>9571.246799999999</v>
      </c>
      <c r="AO40" s="2">
        <v>43255.350000000006</v>
      </c>
      <c r="AP40" s="2">
        <v>0</v>
      </c>
      <c r="AQ40" s="2">
        <v>135</v>
      </c>
      <c r="AR40" s="2">
        <v>18.12</v>
      </c>
      <c r="AS40" s="2">
        <v>0</v>
      </c>
      <c r="AT40" s="2">
        <v>91.8</v>
      </c>
      <c r="AU40" s="2">
        <v>49.3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0</v>
      </c>
      <c r="BI40" s="2">
        <v>1</v>
      </c>
      <c r="BJ40" s="2" t="s">
        <v>133</v>
      </c>
      <c r="BK40" s="2"/>
      <c r="BL40" s="2"/>
      <c r="BM40" s="2">
        <v>6001</v>
      </c>
      <c r="BN40" s="2">
        <v>0</v>
      </c>
      <c r="BO40" s="2" t="s">
        <v>3</v>
      </c>
      <c r="BP40" s="2">
        <v>0</v>
      </c>
      <c r="BQ40" s="2">
        <v>2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102</v>
      </c>
      <c r="CA40" s="2">
        <v>58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7" t="s">
        <v>383</v>
      </c>
      <c r="CO40" s="2">
        <v>0</v>
      </c>
      <c r="CP40" s="2">
        <f t="shared" si="26"/>
        <v>6255.2300000000005</v>
      </c>
      <c r="CQ40" s="2">
        <f>SUMIF(SmtRes!AQ44:'SmtRes'!AQ51,"=1",SmtRes!AA44:'SmtRes'!AA51)</f>
        <v>45.660000000000004</v>
      </c>
      <c r="CR40" s="2">
        <f>SUMIF(SmtRes!AQ44:'SmtRes'!AQ51,"=1",SmtRes!AB44:'SmtRes'!AB51)</f>
        <v>1700.48</v>
      </c>
      <c r="CS40" s="2">
        <f>SUMIF(SmtRes!AQ44:'SmtRes'!AQ51,"=1",SmtRes!AC44:'SmtRes'!AC51)</f>
        <v>923</v>
      </c>
      <c r="CT40" s="2">
        <f>SUMIF(SmtRes!AQ44:'SmtRes'!AQ51,"=1",SmtRes!AD44:'SmtRes'!AD51)</f>
        <v>320.41000000000003</v>
      </c>
      <c r="CU40" s="2">
        <f t="shared" si="27"/>
        <v>0</v>
      </c>
      <c r="CV40" s="2">
        <f>SUMIF(SmtRes!AQ44:'SmtRes'!AQ51,"=1",SmtRes!BU44:'SmtRes'!BU51)</f>
        <v>178.53749999999999</v>
      </c>
      <c r="CW40" s="2">
        <f>SUMIF(SmtRes!AQ44:'SmtRes'!AQ51,"=1",SmtRes!BV44:'SmtRes'!BV51)</f>
        <v>26.047499999999999</v>
      </c>
      <c r="CX40" s="2">
        <f t="shared" si="28"/>
        <v>0</v>
      </c>
      <c r="CY40" s="2">
        <f t="shared" si="29"/>
        <v>3939.9550200000003</v>
      </c>
      <c r="CZ40" s="2">
        <f t="shared" si="30"/>
        <v>2115.9017699999999</v>
      </c>
      <c r="DA40" s="2"/>
      <c r="DB40" s="2">
        <v>10</v>
      </c>
      <c r="DC40" s="2" t="s">
        <v>3</v>
      </c>
      <c r="DD40" s="2" t="s">
        <v>3</v>
      </c>
      <c r="DE40" s="2" t="s">
        <v>81</v>
      </c>
      <c r="DF40" s="2" t="s">
        <v>81</v>
      </c>
      <c r="DG40" s="2" t="s">
        <v>82</v>
      </c>
      <c r="DH40" s="2" t="s">
        <v>3</v>
      </c>
      <c r="DI40" s="2" t="s">
        <v>82</v>
      </c>
      <c r="DJ40" s="2" t="s">
        <v>81</v>
      </c>
      <c r="DK40" s="2" t="s">
        <v>3</v>
      </c>
      <c r="DL40" s="2" t="s">
        <v>66</v>
      </c>
      <c r="DM40" s="2" t="s">
        <v>67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1007</v>
      </c>
      <c r="DV40" s="2" t="s">
        <v>50</v>
      </c>
      <c r="DW40" s="2" t="s">
        <v>50</v>
      </c>
      <c r="DX40" s="2">
        <v>100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44474003</v>
      </c>
      <c r="EF40" s="2">
        <v>2</v>
      </c>
      <c r="EG40" s="2" t="s">
        <v>30</v>
      </c>
      <c r="EH40" s="2">
        <v>6</v>
      </c>
      <c r="EI40" s="2" t="s">
        <v>121</v>
      </c>
      <c r="EJ40" s="2">
        <v>1</v>
      </c>
      <c r="EK40" s="2">
        <v>6001</v>
      </c>
      <c r="EL40" s="2" t="s">
        <v>121</v>
      </c>
      <c r="EM40" s="2" t="s">
        <v>122</v>
      </c>
      <c r="EN40" s="2"/>
      <c r="EO40" s="2" t="s">
        <v>57</v>
      </c>
      <c r="EP40" s="2"/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135</v>
      </c>
      <c r="EX40" s="2">
        <v>18.12</v>
      </c>
      <c r="EY40" s="2">
        <v>0</v>
      </c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v>0</v>
      </c>
      <c r="FS40" s="2">
        <v>0</v>
      </c>
      <c r="FT40" s="2"/>
      <c r="FU40" s="2"/>
      <c r="FV40" s="2"/>
      <c r="FW40" s="2"/>
      <c r="FX40" s="2">
        <v>91.8</v>
      </c>
      <c r="FY40" s="2">
        <v>49.3</v>
      </c>
      <c r="FZ40" s="2"/>
      <c r="GA40" s="2" t="s">
        <v>3</v>
      </c>
      <c r="GB40" s="2"/>
      <c r="GC40" s="2"/>
      <c r="GD40" s="2">
        <v>1</v>
      </c>
      <c r="GE40" s="2"/>
      <c r="GF40" s="2">
        <v>-1465752796</v>
      </c>
      <c r="GG40" s="2">
        <v>2</v>
      </c>
      <c r="GH40" s="2">
        <v>1</v>
      </c>
      <c r="GI40" s="2">
        <v>-2</v>
      </c>
      <c r="GJ40" s="2">
        <v>0</v>
      </c>
      <c r="GK40" s="2">
        <v>0</v>
      </c>
      <c r="GL40" s="2">
        <f t="shared" si="14"/>
        <v>0</v>
      </c>
      <c r="GM40" s="2">
        <f t="shared" si="31"/>
        <v>12311.09</v>
      </c>
      <c r="GN40" s="2">
        <f t="shared" si="15"/>
        <v>12311.09</v>
      </c>
      <c r="GO40" s="2">
        <f t="shared" si="16"/>
        <v>0</v>
      </c>
      <c r="GP40" s="2">
        <f t="shared" si="17"/>
        <v>0</v>
      </c>
      <c r="GQ40" s="2"/>
      <c r="GR40" s="2">
        <v>0</v>
      </c>
      <c r="GS40" s="2">
        <v>0</v>
      </c>
      <c r="GT40" s="2">
        <v>0</v>
      </c>
      <c r="GU40" s="2" t="s">
        <v>3</v>
      </c>
      <c r="GV40" s="2">
        <f t="shared" si="32"/>
        <v>0</v>
      </c>
      <c r="GW40" s="2">
        <v>1</v>
      </c>
      <c r="GX40" s="2">
        <f t="shared" si="33"/>
        <v>0</v>
      </c>
      <c r="GY40" s="2"/>
      <c r="GZ40" s="2"/>
      <c r="HA40" s="2">
        <v>0</v>
      </c>
      <c r="HB40" s="2">
        <v>0</v>
      </c>
      <c r="HC40" s="2">
        <f t="shared" si="34"/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123</v>
      </c>
      <c r="HO40" s="2" t="s">
        <v>124</v>
      </c>
      <c r="HP40" s="2" t="s">
        <v>121</v>
      </c>
      <c r="HQ40" s="2" t="s">
        <v>121</v>
      </c>
      <c r="HR40" s="2"/>
      <c r="HS40" s="2">
        <v>0</v>
      </c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>
      <c r="A41" s="2">
        <v>18</v>
      </c>
      <c r="B41" s="2">
        <v>1</v>
      </c>
      <c r="C41" s="2">
        <v>51</v>
      </c>
      <c r="D41" s="2"/>
      <c r="E41" s="2" t="s">
        <v>134</v>
      </c>
      <c r="F41" s="2" t="s">
        <v>135</v>
      </c>
      <c r="G41" s="2" t="s">
        <v>136</v>
      </c>
      <c r="H41" s="2" t="s">
        <v>75</v>
      </c>
      <c r="I41" s="2">
        <f>I40*J41</f>
        <v>6.1689600000000002</v>
      </c>
      <c r="J41" s="2">
        <v>102</v>
      </c>
      <c r="K41" s="2">
        <v>102</v>
      </c>
      <c r="L41" s="2"/>
      <c r="M41" s="2"/>
      <c r="N41" s="2"/>
      <c r="O41" s="2">
        <f t="shared" si="18"/>
        <v>44636.93</v>
      </c>
      <c r="P41" s="2">
        <f>ROUND(CQ41*I41,2)</f>
        <v>44636.93</v>
      </c>
      <c r="Q41" s="2">
        <f>ROUND(CR41*I41,2)</f>
        <v>0</v>
      </c>
      <c r="R41" s="2">
        <f>ROUND(CS41*I41,2)</f>
        <v>0</v>
      </c>
      <c r="S41" s="2">
        <f>ROUND(CT41*I41,2)</f>
        <v>0</v>
      </c>
      <c r="T41" s="2">
        <f t="shared" si="19"/>
        <v>0</v>
      </c>
      <c r="U41" s="2">
        <f>ROUND(CV41*I41,7)</f>
        <v>0</v>
      </c>
      <c r="V41" s="2">
        <f>ROUND(CW41*I41,7)</f>
        <v>0</v>
      </c>
      <c r="W41" s="2">
        <f t="shared" si="20"/>
        <v>0</v>
      </c>
      <c r="X41" s="2">
        <f t="shared" si="21"/>
        <v>0</v>
      </c>
      <c r="Y41" s="2">
        <f t="shared" si="22"/>
        <v>0</v>
      </c>
      <c r="Z41" s="2"/>
      <c r="AA41" s="2">
        <v>46261364</v>
      </c>
      <c r="AB41" s="2">
        <f t="shared" si="23"/>
        <v>4955.9799999999996</v>
      </c>
      <c r="AC41" s="2">
        <f>ROUND((ES41),6)</f>
        <v>4955.9799999999996</v>
      </c>
      <c r="AD41" s="2">
        <f>ROUND((((ET41)-(EU41))+AE41),6)</f>
        <v>0</v>
      </c>
      <c r="AE41" s="2">
        <f>ROUND((EU41),6)</f>
        <v>0</v>
      </c>
      <c r="AF41" s="2">
        <f>ROUND((EV41),6)</f>
        <v>0</v>
      </c>
      <c r="AG41" s="2">
        <f t="shared" si="24"/>
        <v>0</v>
      </c>
      <c r="AH41" s="2">
        <f>(EW41)</f>
        <v>0</v>
      </c>
      <c r="AI41" s="2">
        <f>(EX41)</f>
        <v>0</v>
      </c>
      <c r="AJ41" s="2">
        <f t="shared" si="25"/>
        <v>0</v>
      </c>
      <c r="AK41" s="2">
        <v>4955.9799999999996</v>
      </c>
      <c r="AL41" s="2">
        <v>4955.9799999999996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102</v>
      </c>
      <c r="AU41" s="2">
        <v>58</v>
      </c>
      <c r="AV41" s="2">
        <v>1</v>
      </c>
      <c r="AW41" s="2">
        <v>1</v>
      </c>
      <c r="AX41" s="2"/>
      <c r="AY41" s="2"/>
      <c r="AZ41" s="2">
        <v>1</v>
      </c>
      <c r="BA41" s="2">
        <v>1</v>
      </c>
      <c r="BB41" s="2">
        <v>1</v>
      </c>
      <c r="BC41" s="2">
        <v>1.46</v>
      </c>
      <c r="BD41" s="2" t="s">
        <v>3</v>
      </c>
      <c r="BE41" s="2" t="s">
        <v>3</v>
      </c>
      <c r="BF41" s="2" t="s">
        <v>3</v>
      </c>
      <c r="BG41" s="2" t="s">
        <v>3</v>
      </c>
      <c r="BH41" s="2">
        <v>3</v>
      </c>
      <c r="BI41" s="2">
        <v>1</v>
      </c>
      <c r="BJ41" s="2" t="s">
        <v>137</v>
      </c>
      <c r="BK41" s="2"/>
      <c r="BL41" s="2"/>
      <c r="BM41" s="2">
        <v>6001</v>
      </c>
      <c r="BN41" s="2">
        <v>0</v>
      </c>
      <c r="BO41" s="2" t="s">
        <v>135</v>
      </c>
      <c r="BP41" s="2">
        <v>1</v>
      </c>
      <c r="BQ41" s="2">
        <v>2</v>
      </c>
      <c r="BR41" s="2">
        <v>0</v>
      </c>
      <c r="BS41" s="2">
        <v>1</v>
      </c>
      <c r="BT41" s="2">
        <v>1</v>
      </c>
      <c r="BU41" s="2">
        <v>1</v>
      </c>
      <c r="BV41" s="2">
        <v>1</v>
      </c>
      <c r="BW41" s="2">
        <v>1</v>
      </c>
      <c r="BX41" s="2">
        <v>1</v>
      </c>
      <c r="BY41" s="2" t="s">
        <v>3</v>
      </c>
      <c r="BZ41" s="2">
        <v>102</v>
      </c>
      <c r="CA41" s="2">
        <v>58</v>
      </c>
      <c r="CB41" s="2" t="s">
        <v>3</v>
      </c>
      <c r="CC41" s="2"/>
      <c r="CD41" s="2"/>
      <c r="CE41" s="2">
        <v>0</v>
      </c>
      <c r="CF41" s="2">
        <v>0</v>
      </c>
      <c r="CG41" s="2">
        <v>0</v>
      </c>
      <c r="CH41" s="2"/>
      <c r="CI41" s="2"/>
      <c r="CJ41" s="2"/>
      <c r="CK41" s="2"/>
      <c r="CL41" s="2"/>
      <c r="CM41" s="2">
        <v>0</v>
      </c>
      <c r="CN41" s="2" t="s">
        <v>3</v>
      </c>
      <c r="CO41" s="2">
        <v>0</v>
      </c>
      <c r="CP41" s="2">
        <f t="shared" si="26"/>
        <v>44636.93</v>
      </c>
      <c r="CQ41" s="2">
        <f>ROUND(AL41*BC41,2)</f>
        <v>7235.73</v>
      </c>
      <c r="CR41" s="2">
        <f>ROUND(AM41*BB41,2)</f>
        <v>0</v>
      </c>
      <c r="CS41" s="2">
        <f>ROUND(AN41*BS41,2)</f>
        <v>0</v>
      </c>
      <c r="CT41" s="2">
        <f>ROUND(AO41*BA41,2)</f>
        <v>0</v>
      </c>
      <c r="CU41" s="2">
        <f t="shared" si="27"/>
        <v>0</v>
      </c>
      <c r="CV41" s="2">
        <f>AH41</f>
        <v>0</v>
      </c>
      <c r="CW41" s="2">
        <f>AI41</f>
        <v>0</v>
      </c>
      <c r="CX41" s="2">
        <f t="shared" si="28"/>
        <v>0</v>
      </c>
      <c r="CY41" s="2">
        <f t="shared" si="29"/>
        <v>0</v>
      </c>
      <c r="CZ41" s="2">
        <f t="shared" si="30"/>
        <v>0</v>
      </c>
      <c r="DA41" s="2"/>
      <c r="DB41" s="2"/>
      <c r="DC41" s="2" t="s">
        <v>3</v>
      </c>
      <c r="DD41" s="2" t="s">
        <v>3</v>
      </c>
      <c r="DE41" s="2" t="s">
        <v>3</v>
      </c>
      <c r="DF41" s="2" t="s">
        <v>3</v>
      </c>
      <c r="DG41" s="2" t="s">
        <v>3</v>
      </c>
      <c r="DH41" s="2" t="s">
        <v>3</v>
      </c>
      <c r="DI41" s="2" t="s">
        <v>3</v>
      </c>
      <c r="DJ41" s="2" t="s">
        <v>3</v>
      </c>
      <c r="DK41" s="2" t="s">
        <v>3</v>
      </c>
      <c r="DL41" s="2" t="s">
        <v>3</v>
      </c>
      <c r="DM41" s="2" t="s">
        <v>3</v>
      </c>
      <c r="DN41" s="2">
        <v>0</v>
      </c>
      <c r="DO41" s="2">
        <v>0</v>
      </c>
      <c r="DP41" s="2">
        <v>1</v>
      </c>
      <c r="DQ41" s="2">
        <v>1</v>
      </c>
      <c r="DR41" s="2"/>
      <c r="DS41" s="2"/>
      <c r="DT41" s="2"/>
      <c r="DU41" s="2">
        <v>1007</v>
      </c>
      <c r="DV41" s="2" t="s">
        <v>75</v>
      </c>
      <c r="DW41" s="2" t="s">
        <v>75</v>
      </c>
      <c r="DX41" s="2">
        <v>1</v>
      </c>
      <c r="DY41" s="2"/>
      <c r="DZ41" s="2" t="s">
        <v>3</v>
      </c>
      <c r="EA41" s="2" t="s">
        <v>3</v>
      </c>
      <c r="EB41" s="2" t="s">
        <v>3</v>
      </c>
      <c r="EC41" s="2" t="s">
        <v>3</v>
      </c>
      <c r="ED41" s="2"/>
      <c r="EE41" s="2">
        <v>44474003</v>
      </c>
      <c r="EF41" s="2">
        <v>2</v>
      </c>
      <c r="EG41" s="2" t="s">
        <v>30</v>
      </c>
      <c r="EH41" s="2">
        <v>6</v>
      </c>
      <c r="EI41" s="2" t="s">
        <v>121</v>
      </c>
      <c r="EJ41" s="2">
        <v>1</v>
      </c>
      <c r="EK41" s="2">
        <v>6001</v>
      </c>
      <c r="EL41" s="2" t="s">
        <v>121</v>
      </c>
      <c r="EM41" s="2" t="s">
        <v>122</v>
      </c>
      <c r="EN41" s="2"/>
      <c r="EO41" s="2" t="s">
        <v>3</v>
      </c>
      <c r="EP41" s="2"/>
      <c r="EQ41" s="2">
        <v>0</v>
      </c>
      <c r="ER41" s="2">
        <v>4955.9799999999996</v>
      </c>
      <c r="ES41" s="2">
        <v>4955.9799999999996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>
        <v>0</v>
      </c>
      <c r="FR41" s="2">
        <v>0</v>
      </c>
      <c r="FS41" s="2">
        <v>0</v>
      </c>
      <c r="FT41" s="2"/>
      <c r="FU41" s="2"/>
      <c r="FV41" s="2"/>
      <c r="FW41" s="2"/>
      <c r="FX41" s="2">
        <v>102</v>
      </c>
      <c r="FY41" s="2">
        <v>58</v>
      </c>
      <c r="FZ41" s="2"/>
      <c r="GA41" s="2" t="s">
        <v>3</v>
      </c>
      <c r="GB41" s="2"/>
      <c r="GC41" s="2"/>
      <c r="GD41" s="2">
        <v>1</v>
      </c>
      <c r="GE41" s="2"/>
      <c r="GF41" s="2">
        <v>1614832778</v>
      </c>
      <c r="GG41" s="2">
        <v>2</v>
      </c>
      <c r="GH41" s="2">
        <v>1</v>
      </c>
      <c r="GI41" s="2">
        <v>2</v>
      </c>
      <c r="GJ41" s="2">
        <v>0</v>
      </c>
      <c r="GK41" s="2">
        <v>0</v>
      </c>
      <c r="GL41" s="2">
        <f t="shared" si="14"/>
        <v>0</v>
      </c>
      <c r="GM41" s="2">
        <f t="shared" si="31"/>
        <v>44636.93</v>
      </c>
      <c r="GN41" s="2">
        <f t="shared" si="15"/>
        <v>44636.93</v>
      </c>
      <c r="GO41" s="2">
        <f t="shared" si="16"/>
        <v>0</v>
      </c>
      <c r="GP41" s="2">
        <f t="shared" si="17"/>
        <v>0</v>
      </c>
      <c r="GQ41" s="2"/>
      <c r="GR41" s="2">
        <v>0</v>
      </c>
      <c r="GS41" s="2">
        <v>0</v>
      </c>
      <c r="GT41" s="2">
        <v>0</v>
      </c>
      <c r="GU41" s="2" t="s">
        <v>3</v>
      </c>
      <c r="GV41" s="2">
        <f t="shared" si="32"/>
        <v>0</v>
      </c>
      <c r="GW41" s="2">
        <v>1</v>
      </c>
      <c r="GX41" s="2">
        <f t="shared" si="33"/>
        <v>0</v>
      </c>
      <c r="GY41" s="2"/>
      <c r="GZ41" s="2"/>
      <c r="HA41" s="2">
        <v>0</v>
      </c>
      <c r="HB41" s="2">
        <v>0</v>
      </c>
      <c r="HC41" s="2">
        <f t="shared" si="34"/>
        <v>0</v>
      </c>
      <c r="HD41" s="2"/>
      <c r="HE41" s="2" t="s">
        <v>3</v>
      </c>
      <c r="HF41" s="2" t="s">
        <v>3</v>
      </c>
      <c r="HG41" s="2"/>
      <c r="HH41" s="2"/>
      <c r="HI41" s="2"/>
      <c r="HJ41" s="2"/>
      <c r="HK41" s="2"/>
      <c r="HL41" s="2"/>
      <c r="HM41" s="2" t="s">
        <v>3</v>
      </c>
      <c r="HN41" s="2" t="s">
        <v>123</v>
      </c>
      <c r="HO41" s="2" t="s">
        <v>124</v>
      </c>
      <c r="HP41" s="2" t="s">
        <v>121</v>
      </c>
      <c r="HQ41" s="2" t="s">
        <v>121</v>
      </c>
      <c r="HR41" s="2"/>
      <c r="HS41" s="2">
        <v>0</v>
      </c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>
        <v>0</v>
      </c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3" spans="1:255">
      <c r="A43" s="3">
        <v>51</v>
      </c>
      <c r="B43" s="3">
        <f>B20</f>
        <v>1</v>
      </c>
      <c r="C43" s="3">
        <f>A20</f>
        <v>3</v>
      </c>
      <c r="D43" s="3">
        <f>ROW(A20)</f>
        <v>20</v>
      </c>
      <c r="E43" s="3"/>
      <c r="F43" s="3" t="str">
        <f>IF(F20&lt;&gt;"",F20,"")</f>
        <v>Новая локальная смета</v>
      </c>
      <c r="G43" s="3" t="str">
        <f>IF(G20&lt;&gt;"",G20,"")</f>
        <v>Новая локальная смета</v>
      </c>
      <c r="H43" s="3">
        <v>0</v>
      </c>
      <c r="I43" s="3"/>
      <c r="J43" s="3"/>
      <c r="K43" s="3"/>
      <c r="L43" s="3"/>
      <c r="M43" s="3"/>
      <c r="N43" s="3"/>
      <c r="O43" s="3">
        <f t="shared" ref="O43:T43" si="35">ROUND(AB43,2)</f>
        <v>158677.97</v>
      </c>
      <c r="P43" s="3">
        <f t="shared" si="35"/>
        <v>116276.05</v>
      </c>
      <c r="Q43" s="3">
        <f t="shared" si="35"/>
        <v>6613.62</v>
      </c>
      <c r="R43" s="3">
        <f t="shared" si="35"/>
        <v>2160.98</v>
      </c>
      <c r="S43" s="3">
        <f t="shared" si="35"/>
        <v>33627.32</v>
      </c>
      <c r="T43" s="3">
        <f t="shared" si="35"/>
        <v>0</v>
      </c>
      <c r="U43" s="3">
        <f>AH43</f>
        <v>94.508183200000005</v>
      </c>
      <c r="V43" s="3">
        <f>AI43</f>
        <v>4.3895453</v>
      </c>
      <c r="W43" s="3">
        <f>ROUND(AJ43,2)</f>
        <v>0</v>
      </c>
      <c r="X43" s="3">
        <f>ROUND(AK43,2)</f>
        <v>34324.43</v>
      </c>
      <c r="Y43" s="3">
        <f>ROUND(AL43,2)</f>
        <v>18630.46</v>
      </c>
      <c r="Z43" s="3"/>
      <c r="AA43" s="3"/>
      <c r="AB43" s="3">
        <f>ROUND(SUMIF(AA24:AA41,"=46261364",O24:O41),2)</f>
        <v>158677.97</v>
      </c>
      <c r="AC43" s="3">
        <f>ROUND(SUMIF(AA24:AA41,"=46261364",P24:P41),2)</f>
        <v>116276.05</v>
      </c>
      <c r="AD43" s="3">
        <f>ROUND(SUMIF(AA24:AA41,"=46261364",Q24:Q41),2)</f>
        <v>6613.62</v>
      </c>
      <c r="AE43" s="3">
        <f>ROUND(SUMIF(AA24:AA41,"=46261364",R24:R41),2)</f>
        <v>2160.98</v>
      </c>
      <c r="AF43" s="3">
        <f>ROUND(SUMIF(AA24:AA41,"=46261364",S24:S41),2)</f>
        <v>33627.32</v>
      </c>
      <c r="AG43" s="3">
        <f>ROUND(SUMIF(AA24:AA41,"=46261364",T24:T41),2)</f>
        <v>0</v>
      </c>
      <c r="AH43" s="3">
        <f>SUMIF(AA24:AA41,"=46261364",U24:U41)</f>
        <v>94.508183200000005</v>
      </c>
      <c r="AI43" s="3">
        <f>SUMIF(AA24:AA41,"=46261364",V24:V41)</f>
        <v>4.3895453</v>
      </c>
      <c r="AJ43" s="3">
        <f>ROUND(SUMIF(AA24:AA41,"=46261364",W24:W41),2)</f>
        <v>0</v>
      </c>
      <c r="AK43" s="3">
        <f>ROUND(SUMIF(AA24:AA41,"=46261364",X24:X41),2)</f>
        <v>34324.43</v>
      </c>
      <c r="AL43" s="3">
        <f>ROUND(SUMIF(AA24:AA41,"=46261364",Y24:Y41),2)</f>
        <v>18630.46</v>
      </c>
      <c r="AM43" s="3"/>
      <c r="AN43" s="3"/>
      <c r="AO43" s="3">
        <f t="shared" ref="AO43:BD43" si="36">ROUND(BX43,2)</f>
        <v>0</v>
      </c>
      <c r="AP43" s="3">
        <f t="shared" si="36"/>
        <v>0</v>
      </c>
      <c r="AQ43" s="3">
        <f t="shared" si="36"/>
        <v>0</v>
      </c>
      <c r="AR43" s="3">
        <f t="shared" si="36"/>
        <v>216723.43</v>
      </c>
      <c r="AS43" s="3">
        <f t="shared" si="36"/>
        <v>216723.43</v>
      </c>
      <c r="AT43" s="3">
        <f t="shared" si="36"/>
        <v>0</v>
      </c>
      <c r="AU43" s="3">
        <f t="shared" si="36"/>
        <v>0</v>
      </c>
      <c r="AV43" s="3">
        <f t="shared" si="36"/>
        <v>116276.05</v>
      </c>
      <c r="AW43" s="3">
        <f t="shared" si="36"/>
        <v>116276.05</v>
      </c>
      <c r="AX43" s="3">
        <f t="shared" si="36"/>
        <v>0</v>
      </c>
      <c r="AY43" s="3">
        <f t="shared" si="36"/>
        <v>116276.05</v>
      </c>
      <c r="AZ43" s="3">
        <f t="shared" si="36"/>
        <v>0</v>
      </c>
      <c r="BA43" s="3">
        <f t="shared" si="36"/>
        <v>0</v>
      </c>
      <c r="BB43" s="3">
        <f t="shared" si="36"/>
        <v>0</v>
      </c>
      <c r="BC43" s="3">
        <f t="shared" si="36"/>
        <v>0</v>
      </c>
      <c r="BD43" s="3">
        <f t="shared" si="36"/>
        <v>5090.57</v>
      </c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>
        <f>ROUND(SUMIF(AA24:AA41,"=46261364",FQ24:FQ41),2)</f>
        <v>0</v>
      </c>
      <c r="BY43" s="3">
        <f>ROUND(SUMIF(AA24:AA41,"=46261364",FR24:FR41),2)</f>
        <v>0</v>
      </c>
      <c r="BZ43" s="3">
        <f>ROUND(SUMIF(AA24:AA41,"=46261364",GL24:GL41),2)</f>
        <v>0</v>
      </c>
      <c r="CA43" s="3">
        <f>ROUND(SUMIF(AA24:AA41,"=46261364",GM24:GM41),2)</f>
        <v>216723.43</v>
      </c>
      <c r="CB43" s="3">
        <f>ROUND(SUMIF(AA24:AA41,"=46261364",GN24:GN41),2)</f>
        <v>216723.43</v>
      </c>
      <c r="CC43" s="3">
        <f>ROUND(SUMIF(AA24:AA41,"=46261364",GO24:GO41),2)</f>
        <v>0</v>
      </c>
      <c r="CD43" s="3">
        <f>ROUND(SUMIF(AA24:AA41,"=46261364",GP24:GP41),2)</f>
        <v>0</v>
      </c>
      <c r="CE43" s="3">
        <f>AC43-BX43</f>
        <v>116276.05</v>
      </c>
      <c r="CF43" s="3">
        <f>AC43-BY43</f>
        <v>116276.05</v>
      </c>
      <c r="CG43" s="3">
        <f>BX43-BZ43</f>
        <v>0</v>
      </c>
      <c r="CH43" s="3">
        <f>AC43-BX43-BY43+BZ43</f>
        <v>116276.05</v>
      </c>
      <c r="CI43" s="3">
        <f>BY43-BZ43</f>
        <v>0</v>
      </c>
      <c r="CJ43" s="3">
        <f>ROUND(SUMIF(AA24:AA41,"=46261364",GX24:GX41),2)</f>
        <v>0</v>
      </c>
      <c r="CK43" s="3">
        <f>ROUND(SUMIF(AA24:AA41,"=46261364",GY24:GY41),2)</f>
        <v>0</v>
      </c>
      <c r="CL43" s="3">
        <f>ROUND(SUMIF(AA24:AA41,"=46261364",GZ24:GZ41),2)</f>
        <v>0</v>
      </c>
      <c r="CM43" s="3">
        <f>ROUND(SUMIF(AA24:AA41,"=46261364",HD24:HD41),2)</f>
        <v>5090.57</v>
      </c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>
        <v>0</v>
      </c>
    </row>
    <row r="45" spans="1:255">
      <c r="A45" s="5">
        <v>50</v>
      </c>
      <c r="B45" s="5">
        <v>0</v>
      </c>
      <c r="C45" s="5">
        <v>0</v>
      </c>
      <c r="D45" s="5">
        <v>1</v>
      </c>
      <c r="E45" s="5">
        <v>201</v>
      </c>
      <c r="F45" s="5">
        <f>ROUND(Source!O43,O45)</f>
        <v>158677.97</v>
      </c>
      <c r="G45" s="5" t="s">
        <v>138</v>
      </c>
      <c r="H45" s="5" t="s">
        <v>139</v>
      </c>
      <c r="I45" s="5"/>
      <c r="J45" s="5"/>
      <c r="K45" s="5">
        <v>201</v>
      </c>
      <c r="L45" s="5">
        <v>1</v>
      </c>
      <c r="M45" s="5">
        <v>3</v>
      </c>
      <c r="N45" s="5" t="s">
        <v>3</v>
      </c>
      <c r="O45" s="5">
        <v>2</v>
      </c>
      <c r="P45" s="5"/>
      <c r="Q45" s="5"/>
      <c r="R45" s="5"/>
      <c r="S45" s="5"/>
      <c r="T45" s="5"/>
      <c r="U45" s="5"/>
      <c r="V45" s="5"/>
      <c r="W45" s="5">
        <v>163768.54</v>
      </c>
      <c r="X45" s="5">
        <v>1</v>
      </c>
      <c r="Y45" s="5">
        <v>163768.54</v>
      </c>
      <c r="Z45" s="5"/>
      <c r="AA45" s="5"/>
      <c r="AB45" s="5"/>
    </row>
    <row r="46" spans="1:255">
      <c r="A46" s="5">
        <v>50</v>
      </c>
      <c r="B46" s="5">
        <v>0</v>
      </c>
      <c r="C46" s="5">
        <v>0</v>
      </c>
      <c r="D46" s="5">
        <v>1</v>
      </c>
      <c r="E46" s="5">
        <v>202</v>
      </c>
      <c r="F46" s="5">
        <f>ROUND(Source!P43,O46)</f>
        <v>116276.05</v>
      </c>
      <c r="G46" s="5" t="s">
        <v>140</v>
      </c>
      <c r="H46" s="5" t="s">
        <v>141</v>
      </c>
      <c r="I46" s="5"/>
      <c r="J46" s="5"/>
      <c r="K46" s="5">
        <v>202</v>
      </c>
      <c r="L46" s="5">
        <v>2</v>
      </c>
      <c r="M46" s="5">
        <v>3</v>
      </c>
      <c r="N46" s="5" t="s">
        <v>3</v>
      </c>
      <c r="O46" s="5">
        <v>2</v>
      </c>
      <c r="P46" s="5"/>
      <c r="Q46" s="5"/>
      <c r="R46" s="5"/>
      <c r="S46" s="5"/>
      <c r="T46" s="5"/>
      <c r="U46" s="5"/>
      <c r="V46" s="5"/>
      <c r="W46" s="5">
        <v>116276.05</v>
      </c>
      <c r="X46" s="5">
        <v>1</v>
      </c>
      <c r="Y46" s="5">
        <v>116276.05</v>
      </c>
      <c r="Z46" s="5"/>
      <c r="AA46" s="5"/>
      <c r="AB46" s="5"/>
    </row>
    <row r="47" spans="1:255">
      <c r="A47" s="5">
        <v>50</v>
      </c>
      <c r="B47" s="5">
        <v>0</v>
      </c>
      <c r="C47" s="5">
        <v>0</v>
      </c>
      <c r="D47" s="5">
        <v>1</v>
      </c>
      <c r="E47" s="5">
        <v>222</v>
      </c>
      <c r="F47" s="5">
        <f>ROUND(Source!AO43,O47)</f>
        <v>0</v>
      </c>
      <c r="G47" s="5" t="s">
        <v>142</v>
      </c>
      <c r="H47" s="5" t="s">
        <v>143</v>
      </c>
      <c r="I47" s="5"/>
      <c r="J47" s="5"/>
      <c r="K47" s="5">
        <v>222</v>
      </c>
      <c r="L47" s="5">
        <v>3</v>
      </c>
      <c r="M47" s="5">
        <v>3</v>
      </c>
      <c r="N47" s="5" t="s">
        <v>3</v>
      </c>
      <c r="O47" s="5">
        <v>2</v>
      </c>
      <c r="P47" s="5"/>
      <c r="Q47" s="5"/>
      <c r="R47" s="5"/>
      <c r="S47" s="5"/>
      <c r="T47" s="5"/>
      <c r="U47" s="5"/>
      <c r="V47" s="5"/>
      <c r="W47" s="5">
        <v>0</v>
      </c>
      <c r="X47" s="5">
        <v>1</v>
      </c>
      <c r="Y47" s="5">
        <v>0</v>
      </c>
      <c r="Z47" s="5"/>
      <c r="AA47" s="5"/>
      <c r="AB47" s="5"/>
    </row>
    <row r="48" spans="1:255">
      <c r="A48" s="5">
        <v>50</v>
      </c>
      <c r="B48" s="5">
        <v>0</v>
      </c>
      <c r="C48" s="5">
        <v>0</v>
      </c>
      <c r="D48" s="5">
        <v>1</v>
      </c>
      <c r="E48" s="5">
        <v>225</v>
      </c>
      <c r="F48" s="5">
        <f>ROUND(Source!AV43,O48)</f>
        <v>116276.05</v>
      </c>
      <c r="G48" s="5" t="s">
        <v>144</v>
      </c>
      <c r="H48" s="5" t="s">
        <v>145</v>
      </c>
      <c r="I48" s="5"/>
      <c r="J48" s="5"/>
      <c r="K48" s="5">
        <v>225</v>
      </c>
      <c r="L48" s="5">
        <v>4</v>
      </c>
      <c r="M48" s="5">
        <v>3</v>
      </c>
      <c r="N48" s="5" t="s">
        <v>3</v>
      </c>
      <c r="O48" s="5">
        <v>2</v>
      </c>
      <c r="P48" s="5"/>
      <c r="Q48" s="5"/>
      <c r="R48" s="5"/>
      <c r="S48" s="5"/>
      <c r="T48" s="5"/>
      <c r="U48" s="5"/>
      <c r="V48" s="5"/>
      <c r="W48" s="5">
        <v>116276.05</v>
      </c>
      <c r="X48" s="5">
        <v>1</v>
      </c>
      <c r="Y48" s="5">
        <v>116276.05</v>
      </c>
      <c r="Z48" s="5"/>
      <c r="AA48" s="5"/>
      <c r="AB48" s="5"/>
    </row>
    <row r="49" spans="1:28">
      <c r="A49" s="5">
        <v>50</v>
      </c>
      <c r="B49" s="5">
        <v>0</v>
      </c>
      <c r="C49" s="5">
        <v>0</v>
      </c>
      <c r="D49" s="5">
        <v>1</v>
      </c>
      <c r="E49" s="5">
        <v>226</v>
      </c>
      <c r="F49" s="5">
        <f>ROUND(Source!AW43,O49)</f>
        <v>116276.05</v>
      </c>
      <c r="G49" s="5" t="s">
        <v>146</v>
      </c>
      <c r="H49" s="5" t="s">
        <v>147</v>
      </c>
      <c r="I49" s="5"/>
      <c r="J49" s="5"/>
      <c r="K49" s="5">
        <v>226</v>
      </c>
      <c r="L49" s="5">
        <v>5</v>
      </c>
      <c r="M49" s="5">
        <v>3</v>
      </c>
      <c r="N49" s="5" t="s">
        <v>3</v>
      </c>
      <c r="O49" s="5">
        <v>2</v>
      </c>
      <c r="P49" s="5"/>
      <c r="Q49" s="5"/>
      <c r="R49" s="5"/>
      <c r="S49" s="5"/>
      <c r="T49" s="5"/>
      <c r="U49" s="5"/>
      <c r="V49" s="5"/>
      <c r="W49" s="5">
        <v>116276.05</v>
      </c>
      <c r="X49" s="5">
        <v>1</v>
      </c>
      <c r="Y49" s="5">
        <v>116276.05</v>
      </c>
      <c r="Z49" s="5"/>
      <c r="AA49" s="5"/>
      <c r="AB49" s="5"/>
    </row>
    <row r="50" spans="1:28">
      <c r="A50" s="5">
        <v>50</v>
      </c>
      <c r="B50" s="5">
        <v>0</v>
      </c>
      <c r="C50" s="5">
        <v>0</v>
      </c>
      <c r="D50" s="5">
        <v>1</v>
      </c>
      <c r="E50" s="5">
        <v>227</v>
      </c>
      <c r="F50" s="5">
        <f>ROUND(Source!AX43,O50)</f>
        <v>0</v>
      </c>
      <c r="G50" s="5" t="s">
        <v>148</v>
      </c>
      <c r="H50" s="5" t="s">
        <v>149</v>
      </c>
      <c r="I50" s="5"/>
      <c r="J50" s="5"/>
      <c r="K50" s="5">
        <v>227</v>
      </c>
      <c r="L50" s="5">
        <v>6</v>
      </c>
      <c r="M50" s="5">
        <v>3</v>
      </c>
      <c r="N50" s="5" t="s">
        <v>3</v>
      </c>
      <c r="O50" s="5">
        <v>2</v>
      </c>
      <c r="P50" s="5"/>
      <c r="Q50" s="5"/>
      <c r="R50" s="5"/>
      <c r="S50" s="5"/>
      <c r="T50" s="5"/>
      <c r="U50" s="5"/>
      <c r="V50" s="5"/>
      <c r="W50" s="5">
        <v>0</v>
      </c>
      <c r="X50" s="5">
        <v>1</v>
      </c>
      <c r="Y50" s="5">
        <v>0</v>
      </c>
      <c r="Z50" s="5"/>
      <c r="AA50" s="5"/>
      <c r="AB50" s="5"/>
    </row>
    <row r="51" spans="1:28">
      <c r="A51" s="5">
        <v>50</v>
      </c>
      <c r="B51" s="5">
        <v>0</v>
      </c>
      <c r="C51" s="5">
        <v>0</v>
      </c>
      <c r="D51" s="5">
        <v>1</v>
      </c>
      <c r="E51" s="5">
        <v>228</v>
      </c>
      <c r="F51" s="5">
        <f>ROUND(Source!AY43,O51)</f>
        <v>116276.05</v>
      </c>
      <c r="G51" s="5" t="s">
        <v>150</v>
      </c>
      <c r="H51" s="5" t="s">
        <v>151</v>
      </c>
      <c r="I51" s="5"/>
      <c r="J51" s="5"/>
      <c r="K51" s="5">
        <v>228</v>
      </c>
      <c r="L51" s="5">
        <v>7</v>
      </c>
      <c r="M51" s="5">
        <v>3</v>
      </c>
      <c r="N51" s="5" t="s">
        <v>3</v>
      </c>
      <c r="O51" s="5">
        <v>2</v>
      </c>
      <c r="P51" s="5"/>
      <c r="Q51" s="5"/>
      <c r="R51" s="5"/>
      <c r="S51" s="5"/>
      <c r="T51" s="5"/>
      <c r="U51" s="5"/>
      <c r="V51" s="5"/>
      <c r="W51" s="5">
        <v>116276.05</v>
      </c>
      <c r="X51" s="5">
        <v>1</v>
      </c>
      <c r="Y51" s="5">
        <v>116276.05</v>
      </c>
      <c r="Z51" s="5"/>
      <c r="AA51" s="5"/>
      <c r="AB51" s="5"/>
    </row>
    <row r="52" spans="1:28">
      <c r="A52" s="5">
        <v>50</v>
      </c>
      <c r="B52" s="5">
        <v>0</v>
      </c>
      <c r="C52" s="5">
        <v>0</v>
      </c>
      <c r="D52" s="5">
        <v>1</v>
      </c>
      <c r="E52" s="5">
        <v>216</v>
      </c>
      <c r="F52" s="5">
        <f>ROUND(Source!AP43,O52)</f>
        <v>0</v>
      </c>
      <c r="G52" s="5" t="s">
        <v>152</v>
      </c>
      <c r="H52" s="5" t="s">
        <v>153</v>
      </c>
      <c r="I52" s="5"/>
      <c r="J52" s="5"/>
      <c r="K52" s="5">
        <v>216</v>
      </c>
      <c r="L52" s="5">
        <v>8</v>
      </c>
      <c r="M52" s="5">
        <v>3</v>
      </c>
      <c r="N52" s="5" t="s">
        <v>3</v>
      </c>
      <c r="O52" s="5">
        <v>2</v>
      </c>
      <c r="P52" s="5"/>
      <c r="Q52" s="5"/>
      <c r="R52" s="5"/>
      <c r="S52" s="5"/>
      <c r="T52" s="5"/>
      <c r="U52" s="5"/>
      <c r="V52" s="5"/>
      <c r="W52" s="5">
        <v>0</v>
      </c>
      <c r="X52" s="5">
        <v>1</v>
      </c>
      <c r="Y52" s="5">
        <v>0</v>
      </c>
      <c r="Z52" s="5"/>
      <c r="AA52" s="5"/>
      <c r="AB52" s="5"/>
    </row>
    <row r="53" spans="1:28">
      <c r="A53" s="5">
        <v>50</v>
      </c>
      <c r="B53" s="5">
        <v>0</v>
      </c>
      <c r="C53" s="5">
        <v>0</v>
      </c>
      <c r="D53" s="5">
        <v>1</v>
      </c>
      <c r="E53" s="5">
        <v>223</v>
      </c>
      <c r="F53" s="5">
        <f>ROUND(Source!AQ43,O53)</f>
        <v>0</v>
      </c>
      <c r="G53" s="5" t="s">
        <v>154</v>
      </c>
      <c r="H53" s="5" t="s">
        <v>155</v>
      </c>
      <c r="I53" s="5"/>
      <c r="J53" s="5"/>
      <c r="K53" s="5">
        <v>223</v>
      </c>
      <c r="L53" s="5">
        <v>9</v>
      </c>
      <c r="M53" s="5">
        <v>3</v>
      </c>
      <c r="N53" s="5" t="s">
        <v>3</v>
      </c>
      <c r="O53" s="5">
        <v>2</v>
      </c>
      <c r="P53" s="5"/>
      <c r="Q53" s="5"/>
      <c r="R53" s="5"/>
      <c r="S53" s="5"/>
      <c r="T53" s="5"/>
      <c r="U53" s="5"/>
      <c r="V53" s="5"/>
      <c r="W53" s="5">
        <v>0</v>
      </c>
      <c r="X53" s="5">
        <v>1</v>
      </c>
      <c r="Y53" s="5">
        <v>0</v>
      </c>
      <c r="Z53" s="5"/>
      <c r="AA53" s="5"/>
      <c r="AB53" s="5"/>
    </row>
    <row r="54" spans="1:28">
      <c r="A54" s="5">
        <v>50</v>
      </c>
      <c r="B54" s="5">
        <v>0</v>
      </c>
      <c r="C54" s="5">
        <v>0</v>
      </c>
      <c r="D54" s="5">
        <v>1</v>
      </c>
      <c r="E54" s="5">
        <v>229</v>
      </c>
      <c r="F54" s="5">
        <f>ROUND(Source!AZ43,O54)</f>
        <v>0</v>
      </c>
      <c r="G54" s="5" t="s">
        <v>156</v>
      </c>
      <c r="H54" s="5" t="s">
        <v>157</v>
      </c>
      <c r="I54" s="5"/>
      <c r="J54" s="5"/>
      <c r="K54" s="5">
        <v>229</v>
      </c>
      <c r="L54" s="5">
        <v>10</v>
      </c>
      <c r="M54" s="5">
        <v>3</v>
      </c>
      <c r="N54" s="5" t="s">
        <v>3</v>
      </c>
      <c r="O54" s="5">
        <v>2</v>
      </c>
      <c r="P54" s="5"/>
      <c r="Q54" s="5"/>
      <c r="R54" s="5"/>
      <c r="S54" s="5"/>
      <c r="T54" s="5"/>
      <c r="U54" s="5"/>
      <c r="V54" s="5"/>
      <c r="W54" s="5">
        <v>0</v>
      </c>
      <c r="X54" s="5">
        <v>1</v>
      </c>
      <c r="Y54" s="5">
        <v>0</v>
      </c>
      <c r="Z54" s="5"/>
      <c r="AA54" s="5"/>
      <c r="AB54" s="5"/>
    </row>
    <row r="55" spans="1:28">
      <c r="A55" s="5">
        <v>50</v>
      </c>
      <c r="B55" s="5">
        <v>0</v>
      </c>
      <c r="C55" s="5">
        <v>0</v>
      </c>
      <c r="D55" s="5">
        <v>1</v>
      </c>
      <c r="E55" s="5">
        <v>203</v>
      </c>
      <c r="F55" s="5">
        <f>ROUND(Source!Q43,O55)</f>
        <v>6613.62</v>
      </c>
      <c r="G55" s="5" t="s">
        <v>158</v>
      </c>
      <c r="H55" s="5" t="s">
        <v>159</v>
      </c>
      <c r="I55" s="5"/>
      <c r="J55" s="5"/>
      <c r="K55" s="5">
        <v>203</v>
      </c>
      <c r="L55" s="5">
        <v>11</v>
      </c>
      <c r="M55" s="5">
        <v>3</v>
      </c>
      <c r="N55" s="5" t="s">
        <v>3</v>
      </c>
      <c r="O55" s="5">
        <v>2</v>
      </c>
      <c r="P55" s="5"/>
      <c r="Q55" s="5"/>
      <c r="R55" s="5"/>
      <c r="S55" s="5"/>
      <c r="T55" s="5"/>
      <c r="U55" s="5"/>
      <c r="V55" s="5"/>
      <c r="W55" s="5">
        <v>6613.62</v>
      </c>
      <c r="X55" s="5">
        <v>1</v>
      </c>
      <c r="Y55" s="5">
        <v>6613.62</v>
      </c>
      <c r="Z55" s="5"/>
      <c r="AA55" s="5"/>
      <c r="AB55" s="5"/>
    </row>
    <row r="56" spans="1:28">
      <c r="A56" s="5">
        <v>50</v>
      </c>
      <c r="B56" s="5">
        <v>0</v>
      </c>
      <c r="C56" s="5">
        <v>0</v>
      </c>
      <c r="D56" s="5">
        <v>1</v>
      </c>
      <c r="E56" s="5">
        <v>231</v>
      </c>
      <c r="F56" s="5">
        <f>ROUND(Source!BB43,O56)</f>
        <v>0</v>
      </c>
      <c r="G56" s="5" t="s">
        <v>160</v>
      </c>
      <c r="H56" s="5" t="s">
        <v>161</v>
      </c>
      <c r="I56" s="5"/>
      <c r="J56" s="5"/>
      <c r="K56" s="5">
        <v>231</v>
      </c>
      <c r="L56" s="5">
        <v>12</v>
      </c>
      <c r="M56" s="5">
        <v>3</v>
      </c>
      <c r="N56" s="5" t="s">
        <v>3</v>
      </c>
      <c r="O56" s="5">
        <v>2</v>
      </c>
      <c r="P56" s="5"/>
      <c r="Q56" s="5"/>
      <c r="R56" s="5"/>
      <c r="S56" s="5"/>
      <c r="T56" s="5"/>
      <c r="U56" s="5"/>
      <c r="V56" s="5"/>
      <c r="W56" s="5">
        <v>0</v>
      </c>
      <c r="X56" s="5">
        <v>1</v>
      </c>
      <c r="Y56" s="5">
        <v>0</v>
      </c>
      <c r="Z56" s="5"/>
      <c r="AA56" s="5"/>
      <c r="AB56" s="5"/>
    </row>
    <row r="57" spans="1:28">
      <c r="A57" s="5">
        <v>50</v>
      </c>
      <c r="B57" s="5">
        <v>0</v>
      </c>
      <c r="C57" s="5">
        <v>0</v>
      </c>
      <c r="D57" s="5">
        <v>1</v>
      </c>
      <c r="E57" s="5">
        <v>204</v>
      </c>
      <c r="F57" s="5">
        <f>ROUND(Source!R43,O57)</f>
        <v>2160.98</v>
      </c>
      <c r="G57" s="5" t="s">
        <v>162</v>
      </c>
      <c r="H57" s="5" t="s">
        <v>163</v>
      </c>
      <c r="I57" s="5"/>
      <c r="J57" s="5"/>
      <c r="K57" s="5">
        <v>204</v>
      </c>
      <c r="L57" s="5">
        <v>13</v>
      </c>
      <c r="M57" s="5">
        <v>3</v>
      </c>
      <c r="N57" s="5" t="s">
        <v>3</v>
      </c>
      <c r="O57" s="5">
        <v>2</v>
      </c>
      <c r="P57" s="5"/>
      <c r="Q57" s="5"/>
      <c r="R57" s="5"/>
      <c r="S57" s="5"/>
      <c r="T57" s="5"/>
      <c r="U57" s="5"/>
      <c r="V57" s="5"/>
      <c r="W57" s="5">
        <v>2160.98</v>
      </c>
      <c r="X57" s="5">
        <v>1</v>
      </c>
      <c r="Y57" s="5">
        <v>2160.98</v>
      </c>
      <c r="Z57" s="5"/>
      <c r="AA57" s="5"/>
      <c r="AB57" s="5"/>
    </row>
    <row r="58" spans="1:28">
      <c r="A58" s="5">
        <v>50</v>
      </c>
      <c r="B58" s="5">
        <v>0</v>
      </c>
      <c r="C58" s="5">
        <v>0</v>
      </c>
      <c r="D58" s="5">
        <v>1</v>
      </c>
      <c r="E58" s="5">
        <v>205</v>
      </c>
      <c r="F58" s="5">
        <f>ROUND(Source!S43,O58)</f>
        <v>33627.32</v>
      </c>
      <c r="G58" s="5" t="s">
        <v>164</v>
      </c>
      <c r="H58" s="5" t="s">
        <v>165</v>
      </c>
      <c r="I58" s="5"/>
      <c r="J58" s="5"/>
      <c r="K58" s="5">
        <v>205</v>
      </c>
      <c r="L58" s="5">
        <v>14</v>
      </c>
      <c r="M58" s="5">
        <v>3</v>
      </c>
      <c r="N58" s="5" t="s">
        <v>3</v>
      </c>
      <c r="O58" s="5">
        <v>2</v>
      </c>
      <c r="P58" s="5"/>
      <c r="Q58" s="5"/>
      <c r="R58" s="5"/>
      <c r="S58" s="5"/>
      <c r="T58" s="5"/>
      <c r="U58" s="5"/>
      <c r="V58" s="5"/>
      <c r="W58" s="5">
        <v>33627.319999999992</v>
      </c>
      <c r="X58" s="5">
        <v>1</v>
      </c>
      <c r="Y58" s="5">
        <v>33627.319999999992</v>
      </c>
      <c r="Z58" s="5"/>
      <c r="AA58" s="5"/>
      <c r="AB58" s="5"/>
    </row>
    <row r="59" spans="1:28">
      <c r="A59" s="5">
        <v>50</v>
      </c>
      <c r="B59" s="5">
        <v>0</v>
      </c>
      <c r="C59" s="5">
        <v>0</v>
      </c>
      <c r="D59" s="5">
        <v>1</v>
      </c>
      <c r="E59" s="5">
        <v>232</v>
      </c>
      <c r="F59" s="5">
        <f>ROUND(Source!BC43,O59)</f>
        <v>0</v>
      </c>
      <c r="G59" s="5" t="s">
        <v>166</v>
      </c>
      <c r="H59" s="5" t="s">
        <v>167</v>
      </c>
      <c r="I59" s="5"/>
      <c r="J59" s="5"/>
      <c r="K59" s="5">
        <v>232</v>
      </c>
      <c r="L59" s="5">
        <v>15</v>
      </c>
      <c r="M59" s="5">
        <v>3</v>
      </c>
      <c r="N59" s="5" t="s">
        <v>3</v>
      </c>
      <c r="O59" s="5">
        <v>2</v>
      </c>
      <c r="P59" s="5"/>
      <c r="Q59" s="5"/>
      <c r="R59" s="5"/>
      <c r="S59" s="5"/>
      <c r="T59" s="5"/>
      <c r="U59" s="5"/>
      <c r="V59" s="5"/>
      <c r="W59" s="5">
        <v>0</v>
      </c>
      <c r="X59" s="5">
        <v>1</v>
      </c>
      <c r="Y59" s="5">
        <v>0</v>
      </c>
      <c r="Z59" s="5"/>
      <c r="AA59" s="5"/>
      <c r="AB59" s="5"/>
    </row>
    <row r="60" spans="1:28">
      <c r="A60" s="5">
        <v>50</v>
      </c>
      <c r="B60" s="5">
        <v>0</v>
      </c>
      <c r="C60" s="5">
        <v>0</v>
      </c>
      <c r="D60" s="5">
        <v>1</v>
      </c>
      <c r="E60" s="5">
        <v>214</v>
      </c>
      <c r="F60" s="5">
        <f>ROUND(Source!AS43,O60)</f>
        <v>216723.43</v>
      </c>
      <c r="G60" s="5" t="s">
        <v>168</v>
      </c>
      <c r="H60" s="5" t="s">
        <v>169</v>
      </c>
      <c r="I60" s="5"/>
      <c r="J60" s="5"/>
      <c r="K60" s="5">
        <v>214</v>
      </c>
      <c r="L60" s="5">
        <v>16</v>
      </c>
      <c r="M60" s="5">
        <v>3</v>
      </c>
      <c r="N60" s="5" t="s">
        <v>3</v>
      </c>
      <c r="O60" s="5">
        <v>2</v>
      </c>
      <c r="P60" s="5"/>
      <c r="Q60" s="5"/>
      <c r="R60" s="5"/>
      <c r="S60" s="5"/>
      <c r="T60" s="5"/>
      <c r="U60" s="5"/>
      <c r="V60" s="5"/>
      <c r="W60" s="5">
        <v>216723.43</v>
      </c>
      <c r="X60" s="5">
        <v>1</v>
      </c>
      <c r="Y60" s="5">
        <v>216723.43</v>
      </c>
      <c r="Z60" s="5"/>
      <c r="AA60" s="5"/>
      <c r="AB60" s="5"/>
    </row>
    <row r="61" spans="1:28">
      <c r="A61" s="5">
        <v>50</v>
      </c>
      <c r="B61" s="5">
        <v>0</v>
      </c>
      <c r="C61" s="5">
        <v>0</v>
      </c>
      <c r="D61" s="5">
        <v>1</v>
      </c>
      <c r="E61" s="5">
        <v>215</v>
      </c>
      <c r="F61" s="5">
        <f>ROUND(Source!AT43,O61)</f>
        <v>0</v>
      </c>
      <c r="G61" s="5" t="s">
        <v>170</v>
      </c>
      <c r="H61" s="5" t="s">
        <v>171</v>
      </c>
      <c r="I61" s="5"/>
      <c r="J61" s="5"/>
      <c r="K61" s="5">
        <v>215</v>
      </c>
      <c r="L61" s="5">
        <v>17</v>
      </c>
      <c r="M61" s="5">
        <v>3</v>
      </c>
      <c r="N61" s="5" t="s">
        <v>3</v>
      </c>
      <c r="O61" s="5">
        <v>2</v>
      </c>
      <c r="P61" s="5"/>
      <c r="Q61" s="5"/>
      <c r="R61" s="5"/>
      <c r="S61" s="5"/>
      <c r="T61" s="5"/>
      <c r="U61" s="5"/>
      <c r="V61" s="5"/>
      <c r="W61" s="5">
        <v>0</v>
      </c>
      <c r="X61" s="5">
        <v>1</v>
      </c>
      <c r="Y61" s="5">
        <v>0</v>
      </c>
      <c r="Z61" s="5"/>
      <c r="AA61" s="5"/>
      <c r="AB61" s="5"/>
    </row>
    <row r="62" spans="1:28">
      <c r="A62" s="5">
        <v>50</v>
      </c>
      <c r="B62" s="5">
        <v>0</v>
      </c>
      <c r="C62" s="5">
        <v>0</v>
      </c>
      <c r="D62" s="5">
        <v>1</v>
      </c>
      <c r="E62" s="5">
        <v>217</v>
      </c>
      <c r="F62" s="5">
        <f>ROUND(Source!AU43,O62)</f>
        <v>0</v>
      </c>
      <c r="G62" s="5" t="s">
        <v>172</v>
      </c>
      <c r="H62" s="5" t="s">
        <v>173</v>
      </c>
      <c r="I62" s="5"/>
      <c r="J62" s="5"/>
      <c r="K62" s="5">
        <v>217</v>
      </c>
      <c r="L62" s="5">
        <v>18</v>
      </c>
      <c r="M62" s="5">
        <v>3</v>
      </c>
      <c r="N62" s="5" t="s">
        <v>3</v>
      </c>
      <c r="O62" s="5">
        <v>2</v>
      </c>
      <c r="P62" s="5"/>
      <c r="Q62" s="5"/>
      <c r="R62" s="5"/>
      <c r="S62" s="5"/>
      <c r="T62" s="5"/>
      <c r="U62" s="5"/>
      <c r="V62" s="5"/>
      <c r="W62" s="5">
        <v>0</v>
      </c>
      <c r="X62" s="5">
        <v>1</v>
      </c>
      <c r="Y62" s="5">
        <v>0</v>
      </c>
      <c r="Z62" s="5"/>
      <c r="AA62" s="5"/>
      <c r="AB62" s="5"/>
    </row>
    <row r="63" spans="1:28">
      <c r="A63" s="5">
        <v>50</v>
      </c>
      <c r="B63" s="5">
        <v>0</v>
      </c>
      <c r="C63" s="5">
        <v>0</v>
      </c>
      <c r="D63" s="5">
        <v>1</v>
      </c>
      <c r="E63" s="5">
        <v>230</v>
      </c>
      <c r="F63" s="5">
        <f>ROUND(Source!BA43,O63)</f>
        <v>0</v>
      </c>
      <c r="G63" s="5" t="s">
        <v>174</v>
      </c>
      <c r="H63" s="5" t="s">
        <v>175</v>
      </c>
      <c r="I63" s="5"/>
      <c r="J63" s="5"/>
      <c r="K63" s="5">
        <v>230</v>
      </c>
      <c r="L63" s="5">
        <v>19</v>
      </c>
      <c r="M63" s="5">
        <v>3</v>
      </c>
      <c r="N63" s="5" t="s">
        <v>3</v>
      </c>
      <c r="O63" s="5">
        <v>2</v>
      </c>
      <c r="P63" s="5"/>
      <c r="Q63" s="5"/>
      <c r="R63" s="5"/>
      <c r="S63" s="5"/>
      <c r="T63" s="5"/>
      <c r="U63" s="5"/>
      <c r="V63" s="5"/>
      <c r="W63" s="5">
        <v>0</v>
      </c>
      <c r="X63" s="5">
        <v>1</v>
      </c>
      <c r="Y63" s="5">
        <v>0</v>
      </c>
      <c r="Z63" s="5"/>
      <c r="AA63" s="5"/>
      <c r="AB63" s="5"/>
    </row>
    <row r="64" spans="1:28">
      <c r="A64" s="5">
        <v>50</v>
      </c>
      <c r="B64" s="5">
        <v>0</v>
      </c>
      <c r="C64" s="5">
        <v>0</v>
      </c>
      <c r="D64" s="5">
        <v>1</v>
      </c>
      <c r="E64" s="5">
        <v>206</v>
      </c>
      <c r="F64" s="5">
        <f>ROUND(Source!T43,O64)</f>
        <v>0</v>
      </c>
      <c r="G64" s="5" t="s">
        <v>176</v>
      </c>
      <c r="H64" s="5" t="s">
        <v>177</v>
      </c>
      <c r="I64" s="5"/>
      <c r="J64" s="5"/>
      <c r="K64" s="5">
        <v>206</v>
      </c>
      <c r="L64" s="5">
        <v>20</v>
      </c>
      <c r="M64" s="5">
        <v>3</v>
      </c>
      <c r="N64" s="5" t="s">
        <v>3</v>
      </c>
      <c r="O64" s="5">
        <v>2</v>
      </c>
      <c r="P64" s="5"/>
      <c r="Q64" s="5"/>
      <c r="R64" s="5"/>
      <c r="S64" s="5"/>
      <c r="T64" s="5"/>
      <c r="U64" s="5"/>
      <c r="V64" s="5"/>
      <c r="W64" s="5">
        <v>0</v>
      </c>
      <c r="X64" s="5">
        <v>1</v>
      </c>
      <c r="Y64" s="5">
        <v>0</v>
      </c>
      <c r="Z64" s="5"/>
      <c r="AA64" s="5"/>
      <c r="AB64" s="5"/>
    </row>
    <row r="65" spans="1:206">
      <c r="A65" s="5">
        <v>50</v>
      </c>
      <c r="B65" s="5">
        <v>0</v>
      </c>
      <c r="C65" s="5">
        <v>0</v>
      </c>
      <c r="D65" s="5">
        <v>1</v>
      </c>
      <c r="E65" s="5">
        <v>207</v>
      </c>
      <c r="F65" s="5">
        <f>ROUND(Source!U43,O65)</f>
        <v>94.508183200000005</v>
      </c>
      <c r="G65" s="5" t="s">
        <v>178</v>
      </c>
      <c r="H65" s="5" t="s">
        <v>179</v>
      </c>
      <c r="I65" s="5"/>
      <c r="J65" s="5"/>
      <c r="K65" s="5">
        <v>207</v>
      </c>
      <c r="L65" s="5">
        <v>21</v>
      </c>
      <c r="M65" s="5">
        <v>3</v>
      </c>
      <c r="N65" s="5" t="s">
        <v>3</v>
      </c>
      <c r="O65" s="5">
        <v>7</v>
      </c>
      <c r="P65" s="5"/>
      <c r="Q65" s="5"/>
      <c r="R65" s="5"/>
      <c r="S65" s="5"/>
      <c r="T65" s="5"/>
      <c r="U65" s="5"/>
      <c r="V65" s="5"/>
      <c r="W65" s="5">
        <v>94.508183200000005</v>
      </c>
      <c r="X65" s="5">
        <v>1</v>
      </c>
      <c r="Y65" s="5">
        <v>94.508183200000005</v>
      </c>
      <c r="Z65" s="5"/>
      <c r="AA65" s="5"/>
      <c r="AB65" s="5"/>
    </row>
    <row r="66" spans="1:206">
      <c r="A66" s="5">
        <v>50</v>
      </c>
      <c r="B66" s="5">
        <v>0</v>
      </c>
      <c r="C66" s="5">
        <v>0</v>
      </c>
      <c r="D66" s="5">
        <v>1</v>
      </c>
      <c r="E66" s="5">
        <v>208</v>
      </c>
      <c r="F66" s="5">
        <f>ROUND(Source!V43,O66)</f>
        <v>4.3895453</v>
      </c>
      <c r="G66" s="5" t="s">
        <v>180</v>
      </c>
      <c r="H66" s="5" t="s">
        <v>181</v>
      </c>
      <c r="I66" s="5"/>
      <c r="J66" s="5"/>
      <c r="K66" s="5">
        <v>208</v>
      </c>
      <c r="L66" s="5">
        <v>22</v>
      </c>
      <c r="M66" s="5">
        <v>3</v>
      </c>
      <c r="N66" s="5" t="s">
        <v>3</v>
      </c>
      <c r="O66" s="5">
        <v>7</v>
      </c>
      <c r="P66" s="5"/>
      <c r="Q66" s="5"/>
      <c r="R66" s="5"/>
      <c r="S66" s="5"/>
      <c r="T66" s="5"/>
      <c r="U66" s="5"/>
      <c r="V66" s="5"/>
      <c r="W66" s="5">
        <v>4.3895453</v>
      </c>
      <c r="X66" s="5">
        <v>1</v>
      </c>
      <c r="Y66" s="5">
        <v>4.3895453</v>
      </c>
      <c r="Z66" s="5"/>
      <c r="AA66" s="5"/>
      <c r="AB66" s="5"/>
    </row>
    <row r="67" spans="1:206">
      <c r="A67" s="5">
        <v>50</v>
      </c>
      <c r="B67" s="5">
        <v>0</v>
      </c>
      <c r="C67" s="5">
        <v>0</v>
      </c>
      <c r="D67" s="5">
        <v>1</v>
      </c>
      <c r="E67" s="5">
        <v>209</v>
      </c>
      <c r="F67" s="5">
        <f>ROUND(Source!W43,O67)</f>
        <v>0</v>
      </c>
      <c r="G67" s="5" t="s">
        <v>182</v>
      </c>
      <c r="H67" s="5" t="s">
        <v>183</v>
      </c>
      <c r="I67" s="5"/>
      <c r="J67" s="5"/>
      <c r="K67" s="5">
        <v>209</v>
      </c>
      <c r="L67" s="5">
        <v>23</v>
      </c>
      <c r="M67" s="5">
        <v>3</v>
      </c>
      <c r="N67" s="5" t="s">
        <v>3</v>
      </c>
      <c r="O67" s="5">
        <v>2</v>
      </c>
      <c r="P67" s="5"/>
      <c r="Q67" s="5"/>
      <c r="R67" s="5"/>
      <c r="S67" s="5"/>
      <c r="T67" s="5"/>
      <c r="U67" s="5"/>
      <c r="V67" s="5"/>
      <c r="W67" s="5">
        <v>0</v>
      </c>
      <c r="X67" s="5">
        <v>1</v>
      </c>
      <c r="Y67" s="5">
        <v>0</v>
      </c>
      <c r="Z67" s="5"/>
      <c r="AA67" s="5"/>
      <c r="AB67" s="5"/>
    </row>
    <row r="68" spans="1:206">
      <c r="A68" s="5">
        <v>50</v>
      </c>
      <c r="B68" s="5">
        <v>0</v>
      </c>
      <c r="C68" s="5">
        <v>0</v>
      </c>
      <c r="D68" s="5">
        <v>1</v>
      </c>
      <c r="E68" s="5">
        <v>233</v>
      </c>
      <c r="F68" s="5">
        <f>ROUND(Source!BD43,O68)</f>
        <v>5090.57</v>
      </c>
      <c r="G68" s="5" t="s">
        <v>184</v>
      </c>
      <c r="H68" s="5" t="s">
        <v>185</v>
      </c>
      <c r="I68" s="5"/>
      <c r="J68" s="5"/>
      <c r="K68" s="5">
        <v>233</v>
      </c>
      <c r="L68" s="5">
        <v>24</v>
      </c>
      <c r="M68" s="5">
        <v>3</v>
      </c>
      <c r="N68" s="5" t="s">
        <v>3</v>
      </c>
      <c r="O68" s="5">
        <v>2</v>
      </c>
      <c r="P68" s="5"/>
      <c r="Q68" s="5"/>
      <c r="R68" s="5"/>
      <c r="S68" s="5"/>
      <c r="T68" s="5"/>
      <c r="U68" s="5"/>
      <c r="V68" s="5"/>
      <c r="W68" s="5">
        <v>5090.57</v>
      </c>
      <c r="X68" s="5">
        <v>1</v>
      </c>
      <c r="Y68" s="5">
        <v>5090.57</v>
      </c>
      <c r="Z68" s="5"/>
      <c r="AA68" s="5"/>
      <c r="AB68" s="5"/>
    </row>
    <row r="69" spans="1:206">
      <c r="A69" s="5">
        <v>50</v>
      </c>
      <c r="B69" s="5">
        <v>0</v>
      </c>
      <c r="C69" s="5">
        <v>0</v>
      </c>
      <c r="D69" s="5">
        <v>1</v>
      </c>
      <c r="E69" s="5">
        <v>210</v>
      </c>
      <c r="F69" s="5">
        <f>ROUND(Source!X43,O69)</f>
        <v>34324.43</v>
      </c>
      <c r="G69" s="5" t="s">
        <v>186</v>
      </c>
      <c r="H69" s="5" t="s">
        <v>187</v>
      </c>
      <c r="I69" s="5"/>
      <c r="J69" s="5"/>
      <c r="K69" s="5">
        <v>210</v>
      </c>
      <c r="L69" s="5">
        <v>25</v>
      </c>
      <c r="M69" s="5">
        <v>3</v>
      </c>
      <c r="N69" s="5" t="s">
        <v>3</v>
      </c>
      <c r="O69" s="5">
        <v>2</v>
      </c>
      <c r="P69" s="5"/>
      <c r="Q69" s="5"/>
      <c r="R69" s="5"/>
      <c r="S69" s="5"/>
      <c r="T69" s="5"/>
      <c r="U69" s="5"/>
      <c r="V69" s="5"/>
      <c r="W69" s="5">
        <v>34324.43</v>
      </c>
      <c r="X69" s="5">
        <v>1</v>
      </c>
      <c r="Y69" s="5">
        <v>34324.43</v>
      </c>
      <c r="Z69" s="5"/>
      <c r="AA69" s="5"/>
      <c r="AB69" s="5"/>
    </row>
    <row r="70" spans="1:206">
      <c r="A70" s="5">
        <v>50</v>
      </c>
      <c r="B70" s="5">
        <v>0</v>
      </c>
      <c r="C70" s="5">
        <v>0</v>
      </c>
      <c r="D70" s="5">
        <v>1</v>
      </c>
      <c r="E70" s="5">
        <v>211</v>
      </c>
      <c r="F70" s="5">
        <f>ROUND(Source!Y43,O70)</f>
        <v>18630.46</v>
      </c>
      <c r="G70" s="5" t="s">
        <v>188</v>
      </c>
      <c r="H70" s="5" t="s">
        <v>189</v>
      </c>
      <c r="I70" s="5"/>
      <c r="J70" s="5"/>
      <c r="K70" s="5">
        <v>211</v>
      </c>
      <c r="L70" s="5">
        <v>26</v>
      </c>
      <c r="M70" s="5">
        <v>3</v>
      </c>
      <c r="N70" s="5" t="s">
        <v>3</v>
      </c>
      <c r="O70" s="5">
        <v>2</v>
      </c>
      <c r="P70" s="5"/>
      <c r="Q70" s="5"/>
      <c r="R70" s="5"/>
      <c r="S70" s="5"/>
      <c r="T70" s="5"/>
      <c r="U70" s="5"/>
      <c r="V70" s="5"/>
      <c r="W70" s="5">
        <v>18630.46</v>
      </c>
      <c r="X70" s="5">
        <v>1</v>
      </c>
      <c r="Y70" s="5">
        <v>18630.46</v>
      </c>
      <c r="Z70" s="5"/>
      <c r="AA70" s="5"/>
      <c r="AB70" s="5"/>
    </row>
    <row r="71" spans="1:206">
      <c r="A71" s="5">
        <v>50</v>
      </c>
      <c r="B71" s="5">
        <v>0</v>
      </c>
      <c r="C71" s="5">
        <v>0</v>
      </c>
      <c r="D71" s="5">
        <v>1</v>
      </c>
      <c r="E71" s="5">
        <v>224</v>
      </c>
      <c r="F71" s="5">
        <f>ROUND(Source!AR43,O71)</f>
        <v>216723.43</v>
      </c>
      <c r="G71" s="5" t="s">
        <v>190</v>
      </c>
      <c r="H71" s="5" t="s">
        <v>191</v>
      </c>
      <c r="I71" s="5"/>
      <c r="J71" s="5"/>
      <c r="K71" s="5">
        <v>224</v>
      </c>
      <c r="L71" s="5">
        <v>27</v>
      </c>
      <c r="M71" s="5">
        <v>3</v>
      </c>
      <c r="N71" s="5" t="s">
        <v>3</v>
      </c>
      <c r="O71" s="5">
        <v>2</v>
      </c>
      <c r="P71" s="5"/>
      <c r="Q71" s="5"/>
      <c r="R71" s="5"/>
      <c r="S71" s="5"/>
      <c r="T71" s="5"/>
      <c r="U71" s="5"/>
      <c r="V71" s="5"/>
      <c r="W71" s="5">
        <v>216723.43</v>
      </c>
      <c r="X71" s="5">
        <v>1</v>
      </c>
      <c r="Y71" s="5">
        <v>216723.43</v>
      </c>
      <c r="Z71" s="5"/>
      <c r="AA71" s="5"/>
      <c r="AB71" s="5"/>
    </row>
    <row r="73" spans="1:206">
      <c r="A73" s="3">
        <v>51</v>
      </c>
      <c r="B73" s="3">
        <f>B12</f>
        <v>130</v>
      </c>
      <c r="C73" s="3">
        <f>A12</f>
        <v>1</v>
      </c>
      <c r="D73" s="3">
        <f>ROW(A12)</f>
        <v>12</v>
      </c>
      <c r="E73" s="3"/>
      <c r="F73" s="3" t="str">
        <f>IF(F12&lt;&gt;"",F12,"")</f>
        <v>Новый объект_(Копия)_(Копия)</v>
      </c>
      <c r="G73" s="3" t="str">
        <f>IF(G12&lt;&gt;"",G12,"")</f>
        <v>Капитальный ремонт овощехранилища (устройство отмостки) ИК-7 (овощехранилище 2026 год)</v>
      </c>
      <c r="H73" s="3">
        <v>0</v>
      </c>
      <c r="I73" s="3"/>
      <c r="J73" s="3"/>
      <c r="K73" s="3"/>
      <c r="L73" s="3"/>
      <c r="M73" s="3"/>
      <c r="N73" s="3"/>
      <c r="O73" s="3">
        <f t="shared" ref="O73:T73" si="37">ROUND(O43,2)</f>
        <v>158677.97</v>
      </c>
      <c r="P73" s="3">
        <f t="shared" si="37"/>
        <v>116276.05</v>
      </c>
      <c r="Q73" s="3">
        <f t="shared" si="37"/>
        <v>6613.62</v>
      </c>
      <c r="R73" s="3">
        <f t="shared" si="37"/>
        <v>2160.98</v>
      </c>
      <c r="S73" s="3">
        <f t="shared" si="37"/>
        <v>33627.32</v>
      </c>
      <c r="T73" s="3">
        <f t="shared" si="37"/>
        <v>0</v>
      </c>
      <c r="U73" s="3">
        <f>U43</f>
        <v>94.508183200000005</v>
      </c>
      <c r="V73" s="3">
        <f>V43</f>
        <v>4.3895453</v>
      </c>
      <c r="W73" s="3">
        <f>ROUND(W43,2)</f>
        <v>0</v>
      </c>
      <c r="X73" s="3">
        <f>ROUND(X43,2)</f>
        <v>34324.43</v>
      </c>
      <c r="Y73" s="3">
        <f>ROUND(Y43,2)</f>
        <v>18630.46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>
        <f t="shared" ref="AO73:BD73" si="38">ROUND(AO43,2)</f>
        <v>0</v>
      </c>
      <c r="AP73" s="3">
        <f t="shared" si="38"/>
        <v>0</v>
      </c>
      <c r="AQ73" s="3">
        <f t="shared" si="38"/>
        <v>0</v>
      </c>
      <c r="AR73" s="3">
        <f t="shared" si="38"/>
        <v>216723.43</v>
      </c>
      <c r="AS73" s="3">
        <f t="shared" si="38"/>
        <v>216723.43</v>
      </c>
      <c r="AT73" s="3">
        <f t="shared" si="38"/>
        <v>0</v>
      </c>
      <c r="AU73" s="3">
        <f t="shared" si="38"/>
        <v>0</v>
      </c>
      <c r="AV73" s="3">
        <f t="shared" si="38"/>
        <v>116276.05</v>
      </c>
      <c r="AW73" s="3">
        <f t="shared" si="38"/>
        <v>116276.05</v>
      </c>
      <c r="AX73" s="3">
        <f t="shared" si="38"/>
        <v>0</v>
      </c>
      <c r="AY73" s="3">
        <f t="shared" si="38"/>
        <v>116276.05</v>
      </c>
      <c r="AZ73" s="3">
        <f t="shared" si="38"/>
        <v>0</v>
      </c>
      <c r="BA73" s="3">
        <f t="shared" si="38"/>
        <v>0</v>
      </c>
      <c r="BB73" s="3">
        <f t="shared" si="38"/>
        <v>0</v>
      </c>
      <c r="BC73" s="3">
        <f t="shared" si="38"/>
        <v>0</v>
      </c>
      <c r="BD73" s="3">
        <f t="shared" si="38"/>
        <v>5090.57</v>
      </c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>
        <v>0</v>
      </c>
    </row>
    <row r="75" spans="1:206">
      <c r="A75" s="5">
        <v>50</v>
      </c>
      <c r="B75" s="5">
        <v>0</v>
      </c>
      <c r="C75" s="5">
        <v>0</v>
      </c>
      <c r="D75" s="5">
        <v>1</v>
      </c>
      <c r="E75" s="5">
        <v>201</v>
      </c>
      <c r="F75" s="5">
        <f>ROUND(Source!O73,O75)</f>
        <v>158677.97</v>
      </c>
      <c r="G75" s="5" t="s">
        <v>138</v>
      </c>
      <c r="H75" s="5" t="s">
        <v>139</v>
      </c>
      <c r="I75" s="5"/>
      <c r="J75" s="5"/>
      <c r="K75" s="5">
        <v>201</v>
      </c>
      <c r="L75" s="5">
        <v>1</v>
      </c>
      <c r="M75" s="5">
        <v>3</v>
      </c>
      <c r="N75" s="5" t="s">
        <v>3</v>
      </c>
      <c r="O75" s="5">
        <v>2</v>
      </c>
      <c r="P75" s="5"/>
      <c r="Q75" s="5"/>
      <c r="R75" s="5"/>
      <c r="S75" s="5"/>
      <c r="T75" s="5"/>
      <c r="U75" s="5"/>
      <c r="V75" s="5"/>
      <c r="W75" s="5">
        <v>163768.54</v>
      </c>
      <c r="X75" s="5">
        <v>1</v>
      </c>
      <c r="Y75" s="5">
        <v>163768.54</v>
      </c>
      <c r="Z75" s="5"/>
      <c r="AA75" s="5"/>
      <c r="AB75" s="5"/>
    </row>
    <row r="76" spans="1:206">
      <c r="A76" s="5">
        <v>50</v>
      </c>
      <c r="B76" s="5">
        <v>0</v>
      </c>
      <c r="C76" s="5">
        <v>0</v>
      </c>
      <c r="D76" s="5">
        <v>1</v>
      </c>
      <c r="E76" s="5">
        <v>202</v>
      </c>
      <c r="F76" s="5">
        <f>ROUND(Source!P73,O76)</f>
        <v>116276.05</v>
      </c>
      <c r="G76" s="5" t="s">
        <v>140</v>
      </c>
      <c r="H76" s="5" t="s">
        <v>141</v>
      </c>
      <c r="I76" s="5"/>
      <c r="J76" s="5"/>
      <c r="K76" s="5">
        <v>202</v>
      </c>
      <c r="L76" s="5">
        <v>2</v>
      </c>
      <c r="M76" s="5">
        <v>3</v>
      </c>
      <c r="N76" s="5" t="s">
        <v>3</v>
      </c>
      <c r="O76" s="5">
        <v>2</v>
      </c>
      <c r="P76" s="5"/>
      <c r="Q76" s="5"/>
      <c r="R76" s="5"/>
      <c r="S76" s="5"/>
      <c r="T76" s="5"/>
      <c r="U76" s="5"/>
      <c r="V76" s="5"/>
      <c r="W76" s="5">
        <v>116276.05</v>
      </c>
      <c r="X76" s="5">
        <v>1</v>
      </c>
      <c r="Y76" s="5">
        <v>116276.05</v>
      </c>
      <c r="Z76" s="5"/>
      <c r="AA76" s="5"/>
      <c r="AB76" s="5"/>
    </row>
    <row r="77" spans="1:206">
      <c r="A77" s="5">
        <v>50</v>
      </c>
      <c r="B77" s="5">
        <v>0</v>
      </c>
      <c r="C77" s="5">
        <v>0</v>
      </c>
      <c r="D77" s="5">
        <v>1</v>
      </c>
      <c r="E77" s="5">
        <v>222</v>
      </c>
      <c r="F77" s="5">
        <f>ROUND(Source!AO73,O77)</f>
        <v>0</v>
      </c>
      <c r="G77" s="5" t="s">
        <v>142</v>
      </c>
      <c r="H77" s="5" t="s">
        <v>143</v>
      </c>
      <c r="I77" s="5"/>
      <c r="J77" s="5"/>
      <c r="K77" s="5">
        <v>222</v>
      </c>
      <c r="L77" s="5">
        <v>3</v>
      </c>
      <c r="M77" s="5">
        <v>3</v>
      </c>
      <c r="N77" s="5" t="s">
        <v>3</v>
      </c>
      <c r="O77" s="5">
        <v>2</v>
      </c>
      <c r="P77" s="5"/>
      <c r="Q77" s="5"/>
      <c r="R77" s="5"/>
      <c r="S77" s="5"/>
      <c r="T77" s="5"/>
      <c r="U77" s="5"/>
      <c r="V77" s="5"/>
      <c r="W77" s="5">
        <v>0</v>
      </c>
      <c r="X77" s="5">
        <v>1</v>
      </c>
      <c r="Y77" s="5">
        <v>0</v>
      </c>
      <c r="Z77" s="5"/>
      <c r="AA77" s="5"/>
      <c r="AB77" s="5"/>
    </row>
    <row r="78" spans="1:206">
      <c r="A78" s="5">
        <v>50</v>
      </c>
      <c r="B78" s="5">
        <v>0</v>
      </c>
      <c r="C78" s="5">
        <v>0</v>
      </c>
      <c r="D78" s="5">
        <v>1</v>
      </c>
      <c r="E78" s="5">
        <v>225</v>
      </c>
      <c r="F78" s="5">
        <f>ROUND(Source!AV73,O78)</f>
        <v>116276.05</v>
      </c>
      <c r="G78" s="5" t="s">
        <v>144</v>
      </c>
      <c r="H78" s="5" t="s">
        <v>145</v>
      </c>
      <c r="I78" s="5"/>
      <c r="J78" s="5"/>
      <c r="K78" s="5">
        <v>225</v>
      </c>
      <c r="L78" s="5">
        <v>4</v>
      </c>
      <c r="M78" s="5">
        <v>3</v>
      </c>
      <c r="N78" s="5" t="s">
        <v>3</v>
      </c>
      <c r="O78" s="5">
        <v>2</v>
      </c>
      <c r="P78" s="5"/>
      <c r="Q78" s="5"/>
      <c r="R78" s="5"/>
      <c r="S78" s="5"/>
      <c r="T78" s="5"/>
      <c r="U78" s="5"/>
      <c r="V78" s="5"/>
      <c r="W78" s="5">
        <v>116276.05</v>
      </c>
      <c r="X78" s="5">
        <v>1</v>
      </c>
      <c r="Y78" s="5">
        <v>116276.05</v>
      </c>
      <c r="Z78" s="5"/>
      <c r="AA78" s="5"/>
      <c r="AB78" s="5"/>
    </row>
    <row r="79" spans="1:206">
      <c r="A79" s="5">
        <v>50</v>
      </c>
      <c r="B79" s="5">
        <v>0</v>
      </c>
      <c r="C79" s="5">
        <v>0</v>
      </c>
      <c r="D79" s="5">
        <v>1</v>
      </c>
      <c r="E79" s="5">
        <v>226</v>
      </c>
      <c r="F79" s="5">
        <f>ROUND(Source!AW73,O79)</f>
        <v>116276.05</v>
      </c>
      <c r="G79" s="5" t="s">
        <v>146</v>
      </c>
      <c r="H79" s="5" t="s">
        <v>147</v>
      </c>
      <c r="I79" s="5"/>
      <c r="J79" s="5"/>
      <c r="K79" s="5">
        <v>226</v>
      </c>
      <c r="L79" s="5">
        <v>5</v>
      </c>
      <c r="M79" s="5">
        <v>3</v>
      </c>
      <c r="N79" s="5" t="s">
        <v>3</v>
      </c>
      <c r="O79" s="5">
        <v>2</v>
      </c>
      <c r="P79" s="5"/>
      <c r="Q79" s="5"/>
      <c r="R79" s="5"/>
      <c r="S79" s="5"/>
      <c r="T79" s="5"/>
      <c r="U79" s="5"/>
      <c r="V79" s="5"/>
      <c r="W79" s="5">
        <v>116276.05</v>
      </c>
      <c r="X79" s="5">
        <v>1</v>
      </c>
      <c r="Y79" s="5">
        <v>116276.05</v>
      </c>
      <c r="Z79" s="5"/>
      <c r="AA79" s="5"/>
      <c r="AB79" s="5"/>
    </row>
    <row r="80" spans="1:206">
      <c r="A80" s="5">
        <v>50</v>
      </c>
      <c r="B80" s="5">
        <v>0</v>
      </c>
      <c r="C80" s="5">
        <v>0</v>
      </c>
      <c r="D80" s="5">
        <v>1</v>
      </c>
      <c r="E80" s="5">
        <v>227</v>
      </c>
      <c r="F80" s="5">
        <f>ROUND(Source!AX73,O80)</f>
        <v>0</v>
      </c>
      <c r="G80" s="5" t="s">
        <v>148</v>
      </c>
      <c r="H80" s="5" t="s">
        <v>149</v>
      </c>
      <c r="I80" s="5"/>
      <c r="J80" s="5"/>
      <c r="K80" s="5">
        <v>227</v>
      </c>
      <c r="L80" s="5">
        <v>6</v>
      </c>
      <c r="M80" s="5">
        <v>3</v>
      </c>
      <c r="N80" s="5" t="s">
        <v>3</v>
      </c>
      <c r="O80" s="5">
        <v>2</v>
      </c>
      <c r="P80" s="5"/>
      <c r="Q80" s="5"/>
      <c r="R80" s="5"/>
      <c r="S80" s="5"/>
      <c r="T80" s="5"/>
      <c r="U80" s="5"/>
      <c r="V80" s="5"/>
      <c r="W80" s="5">
        <v>0</v>
      </c>
      <c r="X80" s="5">
        <v>1</v>
      </c>
      <c r="Y80" s="5">
        <v>0</v>
      </c>
      <c r="Z80" s="5"/>
      <c r="AA80" s="5"/>
      <c r="AB80" s="5"/>
    </row>
    <row r="81" spans="1:28">
      <c r="A81" s="5">
        <v>50</v>
      </c>
      <c r="B81" s="5">
        <v>0</v>
      </c>
      <c r="C81" s="5">
        <v>0</v>
      </c>
      <c r="D81" s="5">
        <v>1</v>
      </c>
      <c r="E81" s="5">
        <v>228</v>
      </c>
      <c r="F81" s="5">
        <f>ROUND(Source!AY73,O81)</f>
        <v>116276.05</v>
      </c>
      <c r="G81" s="5" t="s">
        <v>150</v>
      </c>
      <c r="H81" s="5" t="s">
        <v>151</v>
      </c>
      <c r="I81" s="5"/>
      <c r="J81" s="5"/>
      <c r="K81" s="5">
        <v>228</v>
      </c>
      <c r="L81" s="5">
        <v>7</v>
      </c>
      <c r="M81" s="5">
        <v>3</v>
      </c>
      <c r="N81" s="5" t="s">
        <v>3</v>
      </c>
      <c r="O81" s="5">
        <v>2</v>
      </c>
      <c r="P81" s="5"/>
      <c r="Q81" s="5"/>
      <c r="R81" s="5"/>
      <c r="S81" s="5"/>
      <c r="T81" s="5"/>
      <c r="U81" s="5"/>
      <c r="V81" s="5"/>
      <c r="W81" s="5">
        <v>116276.05</v>
      </c>
      <c r="X81" s="5">
        <v>1</v>
      </c>
      <c r="Y81" s="5">
        <v>116276.05</v>
      </c>
      <c r="Z81" s="5"/>
      <c r="AA81" s="5"/>
      <c r="AB81" s="5"/>
    </row>
    <row r="82" spans="1:28">
      <c r="A82" s="5">
        <v>50</v>
      </c>
      <c r="B82" s="5">
        <v>0</v>
      </c>
      <c r="C82" s="5">
        <v>0</v>
      </c>
      <c r="D82" s="5">
        <v>1</v>
      </c>
      <c r="E82" s="5">
        <v>216</v>
      </c>
      <c r="F82" s="5">
        <f>ROUND(Source!AP73,O82)</f>
        <v>0</v>
      </c>
      <c r="G82" s="5" t="s">
        <v>152</v>
      </c>
      <c r="H82" s="5" t="s">
        <v>153</v>
      </c>
      <c r="I82" s="5"/>
      <c r="J82" s="5"/>
      <c r="K82" s="5">
        <v>216</v>
      </c>
      <c r="L82" s="5">
        <v>8</v>
      </c>
      <c r="M82" s="5">
        <v>3</v>
      </c>
      <c r="N82" s="5" t="s">
        <v>3</v>
      </c>
      <c r="O82" s="5">
        <v>2</v>
      </c>
      <c r="P82" s="5"/>
      <c r="Q82" s="5"/>
      <c r="R82" s="5"/>
      <c r="S82" s="5"/>
      <c r="T82" s="5"/>
      <c r="U82" s="5"/>
      <c r="V82" s="5"/>
      <c r="W82" s="5">
        <v>0</v>
      </c>
      <c r="X82" s="5">
        <v>1</v>
      </c>
      <c r="Y82" s="5">
        <v>0</v>
      </c>
      <c r="Z82" s="5"/>
      <c r="AA82" s="5"/>
      <c r="AB82" s="5"/>
    </row>
    <row r="83" spans="1:28">
      <c r="A83" s="5">
        <v>50</v>
      </c>
      <c r="B83" s="5">
        <v>0</v>
      </c>
      <c r="C83" s="5">
        <v>0</v>
      </c>
      <c r="D83" s="5">
        <v>1</v>
      </c>
      <c r="E83" s="5">
        <v>223</v>
      </c>
      <c r="F83" s="5">
        <f>ROUND(Source!AQ73,O83)</f>
        <v>0</v>
      </c>
      <c r="G83" s="5" t="s">
        <v>154</v>
      </c>
      <c r="H83" s="5" t="s">
        <v>155</v>
      </c>
      <c r="I83" s="5"/>
      <c r="J83" s="5"/>
      <c r="K83" s="5">
        <v>223</v>
      </c>
      <c r="L83" s="5">
        <v>9</v>
      </c>
      <c r="M83" s="5">
        <v>3</v>
      </c>
      <c r="N83" s="5" t="s">
        <v>3</v>
      </c>
      <c r="O83" s="5">
        <v>2</v>
      </c>
      <c r="P83" s="5"/>
      <c r="Q83" s="5"/>
      <c r="R83" s="5"/>
      <c r="S83" s="5"/>
      <c r="T83" s="5"/>
      <c r="U83" s="5"/>
      <c r="V83" s="5"/>
      <c r="W83" s="5">
        <v>0</v>
      </c>
      <c r="X83" s="5">
        <v>1</v>
      </c>
      <c r="Y83" s="5">
        <v>0</v>
      </c>
      <c r="Z83" s="5"/>
      <c r="AA83" s="5"/>
      <c r="AB83" s="5"/>
    </row>
    <row r="84" spans="1:28">
      <c r="A84" s="5">
        <v>50</v>
      </c>
      <c r="B84" s="5">
        <v>0</v>
      </c>
      <c r="C84" s="5">
        <v>0</v>
      </c>
      <c r="D84" s="5">
        <v>1</v>
      </c>
      <c r="E84" s="5">
        <v>229</v>
      </c>
      <c r="F84" s="5">
        <f>ROUND(Source!AZ73,O84)</f>
        <v>0</v>
      </c>
      <c r="G84" s="5" t="s">
        <v>156</v>
      </c>
      <c r="H84" s="5" t="s">
        <v>157</v>
      </c>
      <c r="I84" s="5"/>
      <c r="J84" s="5"/>
      <c r="K84" s="5">
        <v>229</v>
      </c>
      <c r="L84" s="5">
        <v>10</v>
      </c>
      <c r="M84" s="5">
        <v>3</v>
      </c>
      <c r="N84" s="5" t="s">
        <v>3</v>
      </c>
      <c r="O84" s="5">
        <v>2</v>
      </c>
      <c r="P84" s="5"/>
      <c r="Q84" s="5"/>
      <c r="R84" s="5"/>
      <c r="S84" s="5"/>
      <c r="T84" s="5"/>
      <c r="U84" s="5"/>
      <c r="V84" s="5"/>
      <c r="W84" s="5">
        <v>0</v>
      </c>
      <c r="X84" s="5">
        <v>1</v>
      </c>
      <c r="Y84" s="5">
        <v>0</v>
      </c>
      <c r="Z84" s="5"/>
      <c r="AA84" s="5"/>
      <c r="AB84" s="5"/>
    </row>
    <row r="85" spans="1:28">
      <c r="A85" s="5">
        <v>50</v>
      </c>
      <c r="B85" s="5">
        <v>0</v>
      </c>
      <c r="C85" s="5">
        <v>0</v>
      </c>
      <c r="D85" s="5">
        <v>1</v>
      </c>
      <c r="E85" s="5">
        <v>203</v>
      </c>
      <c r="F85" s="5">
        <f>ROUND(Source!Q73,O85)</f>
        <v>6613.62</v>
      </c>
      <c r="G85" s="5" t="s">
        <v>158</v>
      </c>
      <c r="H85" s="5" t="s">
        <v>159</v>
      </c>
      <c r="I85" s="5"/>
      <c r="J85" s="5"/>
      <c r="K85" s="5">
        <v>203</v>
      </c>
      <c r="L85" s="5">
        <v>11</v>
      </c>
      <c r="M85" s="5">
        <v>3</v>
      </c>
      <c r="N85" s="5" t="s">
        <v>3</v>
      </c>
      <c r="O85" s="5">
        <v>2</v>
      </c>
      <c r="P85" s="5"/>
      <c r="Q85" s="5"/>
      <c r="R85" s="5"/>
      <c r="S85" s="5"/>
      <c r="T85" s="5"/>
      <c r="U85" s="5"/>
      <c r="V85" s="5"/>
      <c r="W85" s="5">
        <v>6613.62</v>
      </c>
      <c r="X85" s="5">
        <v>1</v>
      </c>
      <c r="Y85" s="5">
        <v>6613.62</v>
      </c>
      <c r="Z85" s="5"/>
      <c r="AA85" s="5"/>
      <c r="AB85" s="5"/>
    </row>
    <row r="86" spans="1:28">
      <c r="A86" s="5">
        <v>50</v>
      </c>
      <c r="B86" s="5">
        <v>0</v>
      </c>
      <c r="C86" s="5">
        <v>0</v>
      </c>
      <c r="D86" s="5">
        <v>1</v>
      </c>
      <c r="E86" s="5">
        <v>231</v>
      </c>
      <c r="F86" s="5">
        <f>ROUND(Source!BB73,O86)</f>
        <v>0</v>
      </c>
      <c r="G86" s="5" t="s">
        <v>160</v>
      </c>
      <c r="H86" s="5" t="s">
        <v>161</v>
      </c>
      <c r="I86" s="5"/>
      <c r="J86" s="5"/>
      <c r="K86" s="5">
        <v>231</v>
      </c>
      <c r="L86" s="5">
        <v>12</v>
      </c>
      <c r="M86" s="5">
        <v>3</v>
      </c>
      <c r="N86" s="5" t="s">
        <v>3</v>
      </c>
      <c r="O86" s="5">
        <v>2</v>
      </c>
      <c r="P86" s="5"/>
      <c r="Q86" s="5"/>
      <c r="R86" s="5"/>
      <c r="S86" s="5"/>
      <c r="T86" s="5"/>
      <c r="U86" s="5"/>
      <c r="V86" s="5"/>
      <c r="W86" s="5">
        <v>0</v>
      </c>
      <c r="X86" s="5">
        <v>1</v>
      </c>
      <c r="Y86" s="5">
        <v>0</v>
      </c>
      <c r="Z86" s="5"/>
      <c r="AA86" s="5"/>
      <c r="AB86" s="5"/>
    </row>
    <row r="87" spans="1:28">
      <c r="A87" s="5">
        <v>50</v>
      </c>
      <c r="B87" s="5">
        <v>0</v>
      </c>
      <c r="C87" s="5">
        <v>0</v>
      </c>
      <c r="D87" s="5">
        <v>1</v>
      </c>
      <c r="E87" s="5">
        <v>204</v>
      </c>
      <c r="F87" s="5">
        <f>ROUND(Source!R73,O87)</f>
        <v>2160.98</v>
      </c>
      <c r="G87" s="5" t="s">
        <v>162</v>
      </c>
      <c r="H87" s="5" t="s">
        <v>163</v>
      </c>
      <c r="I87" s="5"/>
      <c r="J87" s="5"/>
      <c r="K87" s="5">
        <v>204</v>
      </c>
      <c r="L87" s="5">
        <v>13</v>
      </c>
      <c r="M87" s="5">
        <v>3</v>
      </c>
      <c r="N87" s="5" t="s">
        <v>3</v>
      </c>
      <c r="O87" s="5">
        <v>2</v>
      </c>
      <c r="P87" s="5"/>
      <c r="Q87" s="5"/>
      <c r="R87" s="5"/>
      <c r="S87" s="5"/>
      <c r="T87" s="5"/>
      <c r="U87" s="5"/>
      <c r="V87" s="5"/>
      <c r="W87" s="5">
        <v>2160.98</v>
      </c>
      <c r="X87" s="5">
        <v>1</v>
      </c>
      <c r="Y87" s="5">
        <v>2160.98</v>
      </c>
      <c r="Z87" s="5"/>
      <c r="AA87" s="5"/>
      <c r="AB87" s="5"/>
    </row>
    <row r="88" spans="1:28">
      <c r="A88" s="5">
        <v>50</v>
      </c>
      <c r="B88" s="5">
        <v>0</v>
      </c>
      <c r="C88" s="5">
        <v>0</v>
      </c>
      <c r="D88" s="5">
        <v>1</v>
      </c>
      <c r="E88" s="5">
        <v>205</v>
      </c>
      <c r="F88" s="5">
        <f>ROUND(Source!S73,O88)</f>
        <v>33627.32</v>
      </c>
      <c r="G88" s="5" t="s">
        <v>164</v>
      </c>
      <c r="H88" s="5" t="s">
        <v>165</v>
      </c>
      <c r="I88" s="5"/>
      <c r="J88" s="5"/>
      <c r="K88" s="5">
        <v>205</v>
      </c>
      <c r="L88" s="5">
        <v>14</v>
      </c>
      <c r="M88" s="5">
        <v>3</v>
      </c>
      <c r="N88" s="5" t="s">
        <v>3</v>
      </c>
      <c r="O88" s="5">
        <v>2</v>
      </c>
      <c r="P88" s="5"/>
      <c r="Q88" s="5"/>
      <c r="R88" s="5"/>
      <c r="S88" s="5"/>
      <c r="T88" s="5"/>
      <c r="U88" s="5"/>
      <c r="V88" s="5"/>
      <c r="W88" s="5">
        <v>33627.319999999992</v>
      </c>
      <c r="X88" s="5">
        <v>1</v>
      </c>
      <c r="Y88" s="5">
        <v>33627.319999999992</v>
      </c>
      <c r="Z88" s="5"/>
      <c r="AA88" s="5"/>
      <c r="AB88" s="5"/>
    </row>
    <row r="89" spans="1:28">
      <c r="A89" s="5">
        <v>50</v>
      </c>
      <c r="B89" s="5">
        <v>0</v>
      </c>
      <c r="C89" s="5">
        <v>0</v>
      </c>
      <c r="D89" s="5">
        <v>1</v>
      </c>
      <c r="E89" s="5">
        <v>232</v>
      </c>
      <c r="F89" s="5">
        <f>ROUND(Source!BC73,O89)</f>
        <v>0</v>
      </c>
      <c r="G89" s="5" t="s">
        <v>166</v>
      </c>
      <c r="H89" s="5" t="s">
        <v>167</v>
      </c>
      <c r="I89" s="5"/>
      <c r="J89" s="5"/>
      <c r="K89" s="5">
        <v>232</v>
      </c>
      <c r="L89" s="5">
        <v>15</v>
      </c>
      <c r="M89" s="5">
        <v>3</v>
      </c>
      <c r="N89" s="5" t="s">
        <v>3</v>
      </c>
      <c r="O89" s="5">
        <v>2</v>
      </c>
      <c r="P89" s="5"/>
      <c r="Q89" s="5"/>
      <c r="R89" s="5"/>
      <c r="S89" s="5"/>
      <c r="T89" s="5"/>
      <c r="U89" s="5"/>
      <c r="V89" s="5"/>
      <c r="W89" s="5">
        <v>0</v>
      </c>
      <c r="X89" s="5">
        <v>1</v>
      </c>
      <c r="Y89" s="5">
        <v>0</v>
      </c>
      <c r="Z89" s="5"/>
      <c r="AA89" s="5"/>
      <c r="AB89" s="5"/>
    </row>
    <row r="90" spans="1:28">
      <c r="A90" s="5">
        <v>50</v>
      </c>
      <c r="B90" s="5">
        <v>0</v>
      </c>
      <c r="C90" s="5">
        <v>0</v>
      </c>
      <c r="D90" s="5">
        <v>1</v>
      </c>
      <c r="E90" s="5">
        <v>214</v>
      </c>
      <c r="F90" s="5">
        <f>ROUND(Source!AS73,O90)</f>
        <v>216723.43</v>
      </c>
      <c r="G90" s="5" t="s">
        <v>168</v>
      </c>
      <c r="H90" s="5" t="s">
        <v>169</v>
      </c>
      <c r="I90" s="5"/>
      <c r="J90" s="5"/>
      <c r="K90" s="5">
        <v>214</v>
      </c>
      <c r="L90" s="5">
        <v>16</v>
      </c>
      <c r="M90" s="5">
        <v>3</v>
      </c>
      <c r="N90" s="5" t="s">
        <v>3</v>
      </c>
      <c r="O90" s="5">
        <v>2</v>
      </c>
      <c r="P90" s="5"/>
      <c r="Q90" s="5"/>
      <c r="R90" s="5"/>
      <c r="S90" s="5"/>
      <c r="T90" s="5"/>
      <c r="U90" s="5"/>
      <c r="V90" s="5"/>
      <c r="W90" s="5">
        <v>216723.43</v>
      </c>
      <c r="X90" s="5">
        <v>1</v>
      </c>
      <c r="Y90" s="5">
        <v>216723.43</v>
      </c>
      <c r="Z90" s="5"/>
      <c r="AA90" s="5"/>
      <c r="AB90" s="5"/>
    </row>
    <row r="91" spans="1:28">
      <c r="A91" s="5">
        <v>50</v>
      </c>
      <c r="B91" s="5">
        <v>0</v>
      </c>
      <c r="C91" s="5">
        <v>0</v>
      </c>
      <c r="D91" s="5">
        <v>1</v>
      </c>
      <c r="E91" s="5">
        <v>215</v>
      </c>
      <c r="F91" s="5">
        <f>ROUND(Source!AT73,O91)</f>
        <v>0</v>
      </c>
      <c r="G91" s="5" t="s">
        <v>170</v>
      </c>
      <c r="H91" s="5" t="s">
        <v>171</v>
      </c>
      <c r="I91" s="5"/>
      <c r="J91" s="5"/>
      <c r="K91" s="5">
        <v>215</v>
      </c>
      <c r="L91" s="5">
        <v>17</v>
      </c>
      <c r="M91" s="5">
        <v>3</v>
      </c>
      <c r="N91" s="5" t="s">
        <v>3</v>
      </c>
      <c r="O91" s="5">
        <v>2</v>
      </c>
      <c r="P91" s="5"/>
      <c r="Q91" s="5"/>
      <c r="R91" s="5"/>
      <c r="S91" s="5"/>
      <c r="T91" s="5"/>
      <c r="U91" s="5"/>
      <c r="V91" s="5"/>
      <c r="W91" s="5">
        <v>0</v>
      </c>
      <c r="X91" s="5">
        <v>1</v>
      </c>
      <c r="Y91" s="5">
        <v>0</v>
      </c>
      <c r="Z91" s="5"/>
      <c r="AA91" s="5"/>
      <c r="AB91" s="5"/>
    </row>
    <row r="92" spans="1:28">
      <c r="A92" s="5">
        <v>50</v>
      </c>
      <c r="B92" s="5">
        <v>0</v>
      </c>
      <c r="C92" s="5">
        <v>0</v>
      </c>
      <c r="D92" s="5">
        <v>1</v>
      </c>
      <c r="E92" s="5">
        <v>217</v>
      </c>
      <c r="F92" s="5">
        <f>ROUND(Source!AU73,O92)</f>
        <v>0</v>
      </c>
      <c r="G92" s="5" t="s">
        <v>172</v>
      </c>
      <c r="H92" s="5" t="s">
        <v>173</v>
      </c>
      <c r="I92" s="5"/>
      <c r="J92" s="5"/>
      <c r="K92" s="5">
        <v>217</v>
      </c>
      <c r="L92" s="5">
        <v>18</v>
      </c>
      <c r="M92" s="5">
        <v>3</v>
      </c>
      <c r="N92" s="5" t="s">
        <v>3</v>
      </c>
      <c r="O92" s="5">
        <v>2</v>
      </c>
      <c r="P92" s="5"/>
      <c r="Q92" s="5"/>
      <c r="R92" s="5"/>
      <c r="S92" s="5"/>
      <c r="T92" s="5"/>
      <c r="U92" s="5"/>
      <c r="V92" s="5"/>
      <c r="W92" s="5">
        <v>0</v>
      </c>
      <c r="X92" s="5">
        <v>1</v>
      </c>
      <c r="Y92" s="5">
        <v>0</v>
      </c>
      <c r="Z92" s="5"/>
      <c r="AA92" s="5"/>
      <c r="AB92" s="5"/>
    </row>
    <row r="93" spans="1:28">
      <c r="A93" s="5">
        <v>50</v>
      </c>
      <c r="B93" s="5">
        <v>0</v>
      </c>
      <c r="C93" s="5">
        <v>0</v>
      </c>
      <c r="D93" s="5">
        <v>1</v>
      </c>
      <c r="E93" s="5">
        <v>230</v>
      </c>
      <c r="F93" s="5">
        <f>ROUND(Source!BA73,O93)</f>
        <v>0</v>
      </c>
      <c r="G93" s="5" t="s">
        <v>174</v>
      </c>
      <c r="H93" s="5" t="s">
        <v>175</v>
      </c>
      <c r="I93" s="5"/>
      <c r="J93" s="5"/>
      <c r="K93" s="5">
        <v>230</v>
      </c>
      <c r="L93" s="5">
        <v>19</v>
      </c>
      <c r="M93" s="5">
        <v>3</v>
      </c>
      <c r="N93" s="5" t="s">
        <v>3</v>
      </c>
      <c r="O93" s="5">
        <v>2</v>
      </c>
      <c r="P93" s="5"/>
      <c r="Q93" s="5"/>
      <c r="R93" s="5"/>
      <c r="S93" s="5"/>
      <c r="T93" s="5"/>
      <c r="U93" s="5"/>
      <c r="V93" s="5"/>
      <c r="W93" s="5">
        <v>0</v>
      </c>
      <c r="X93" s="5">
        <v>1</v>
      </c>
      <c r="Y93" s="5">
        <v>0</v>
      </c>
      <c r="Z93" s="5"/>
      <c r="AA93" s="5"/>
      <c r="AB93" s="5"/>
    </row>
    <row r="94" spans="1:28">
      <c r="A94" s="5">
        <v>50</v>
      </c>
      <c r="B94" s="5">
        <v>0</v>
      </c>
      <c r="C94" s="5">
        <v>0</v>
      </c>
      <c r="D94" s="5">
        <v>1</v>
      </c>
      <c r="E94" s="5">
        <v>206</v>
      </c>
      <c r="F94" s="5">
        <f>ROUND(Source!T73,O94)</f>
        <v>0</v>
      </c>
      <c r="G94" s="5" t="s">
        <v>176</v>
      </c>
      <c r="H94" s="5" t="s">
        <v>177</v>
      </c>
      <c r="I94" s="5"/>
      <c r="J94" s="5"/>
      <c r="K94" s="5">
        <v>206</v>
      </c>
      <c r="L94" s="5">
        <v>20</v>
      </c>
      <c r="M94" s="5">
        <v>3</v>
      </c>
      <c r="N94" s="5" t="s">
        <v>3</v>
      </c>
      <c r="O94" s="5">
        <v>2</v>
      </c>
      <c r="P94" s="5"/>
      <c r="Q94" s="5"/>
      <c r="R94" s="5"/>
      <c r="S94" s="5"/>
      <c r="T94" s="5"/>
      <c r="U94" s="5"/>
      <c r="V94" s="5"/>
      <c r="W94" s="5">
        <v>0</v>
      </c>
      <c r="X94" s="5">
        <v>1</v>
      </c>
      <c r="Y94" s="5">
        <v>0</v>
      </c>
      <c r="Z94" s="5"/>
      <c r="AA94" s="5"/>
      <c r="AB94" s="5"/>
    </row>
    <row r="95" spans="1:28">
      <c r="A95" s="5">
        <v>50</v>
      </c>
      <c r="B95" s="5">
        <v>0</v>
      </c>
      <c r="C95" s="5">
        <v>0</v>
      </c>
      <c r="D95" s="5">
        <v>1</v>
      </c>
      <c r="E95" s="5">
        <v>207</v>
      </c>
      <c r="F95" s="5">
        <f>ROUND(Source!U73,O95)</f>
        <v>94.508183200000005</v>
      </c>
      <c r="G95" s="5" t="s">
        <v>178</v>
      </c>
      <c r="H95" s="5" t="s">
        <v>179</v>
      </c>
      <c r="I95" s="5"/>
      <c r="J95" s="5"/>
      <c r="K95" s="5">
        <v>207</v>
      </c>
      <c r="L95" s="5">
        <v>21</v>
      </c>
      <c r="M95" s="5">
        <v>3</v>
      </c>
      <c r="N95" s="5" t="s">
        <v>3</v>
      </c>
      <c r="O95" s="5">
        <v>7</v>
      </c>
      <c r="P95" s="5"/>
      <c r="Q95" s="5"/>
      <c r="R95" s="5"/>
      <c r="S95" s="5"/>
      <c r="T95" s="5"/>
      <c r="U95" s="5"/>
      <c r="V95" s="5"/>
      <c r="W95" s="5">
        <v>94.508183200000005</v>
      </c>
      <c r="X95" s="5">
        <v>1</v>
      </c>
      <c r="Y95" s="5">
        <v>94.508183200000005</v>
      </c>
      <c r="Z95" s="5"/>
      <c r="AA95" s="5"/>
      <c r="AB95" s="5"/>
    </row>
    <row r="96" spans="1:28">
      <c r="A96" s="5">
        <v>50</v>
      </c>
      <c r="B96" s="5">
        <v>0</v>
      </c>
      <c r="C96" s="5">
        <v>0</v>
      </c>
      <c r="D96" s="5">
        <v>1</v>
      </c>
      <c r="E96" s="5">
        <v>208</v>
      </c>
      <c r="F96" s="5">
        <f>ROUND(Source!V73,O96)</f>
        <v>4.3895453</v>
      </c>
      <c r="G96" s="5" t="s">
        <v>180</v>
      </c>
      <c r="H96" s="5" t="s">
        <v>181</v>
      </c>
      <c r="I96" s="5"/>
      <c r="J96" s="5"/>
      <c r="K96" s="5">
        <v>208</v>
      </c>
      <c r="L96" s="5">
        <v>22</v>
      </c>
      <c r="M96" s="5">
        <v>3</v>
      </c>
      <c r="N96" s="5" t="s">
        <v>3</v>
      </c>
      <c r="O96" s="5">
        <v>7</v>
      </c>
      <c r="P96" s="5"/>
      <c r="Q96" s="5"/>
      <c r="R96" s="5"/>
      <c r="S96" s="5"/>
      <c r="T96" s="5"/>
      <c r="U96" s="5"/>
      <c r="V96" s="5"/>
      <c r="W96" s="5">
        <v>4.3895453</v>
      </c>
      <c r="X96" s="5">
        <v>1</v>
      </c>
      <c r="Y96" s="5">
        <v>4.3895453</v>
      </c>
      <c r="Z96" s="5"/>
      <c r="AA96" s="5"/>
      <c r="AB96" s="5"/>
    </row>
    <row r="97" spans="1:28">
      <c r="A97" s="5">
        <v>50</v>
      </c>
      <c r="B97" s="5">
        <v>0</v>
      </c>
      <c r="C97" s="5">
        <v>0</v>
      </c>
      <c r="D97" s="5">
        <v>1</v>
      </c>
      <c r="E97" s="5">
        <v>209</v>
      </c>
      <c r="F97" s="5">
        <f>ROUND(Source!W73,O97)</f>
        <v>0</v>
      </c>
      <c r="G97" s="5" t="s">
        <v>182</v>
      </c>
      <c r="H97" s="5" t="s">
        <v>183</v>
      </c>
      <c r="I97" s="5"/>
      <c r="J97" s="5"/>
      <c r="K97" s="5">
        <v>209</v>
      </c>
      <c r="L97" s="5">
        <v>23</v>
      </c>
      <c r="M97" s="5">
        <v>3</v>
      </c>
      <c r="N97" s="5" t="s">
        <v>3</v>
      </c>
      <c r="O97" s="5">
        <v>2</v>
      </c>
      <c r="P97" s="5"/>
      <c r="Q97" s="5"/>
      <c r="R97" s="5"/>
      <c r="S97" s="5"/>
      <c r="T97" s="5"/>
      <c r="U97" s="5"/>
      <c r="V97" s="5"/>
      <c r="W97" s="5">
        <v>0</v>
      </c>
      <c r="X97" s="5">
        <v>1</v>
      </c>
      <c r="Y97" s="5">
        <v>0</v>
      </c>
      <c r="Z97" s="5"/>
      <c r="AA97" s="5"/>
      <c r="AB97" s="5"/>
    </row>
    <row r="98" spans="1:28">
      <c r="A98" s="5">
        <v>50</v>
      </c>
      <c r="B98" s="5">
        <v>0</v>
      </c>
      <c r="C98" s="5">
        <v>0</v>
      </c>
      <c r="D98" s="5">
        <v>1</v>
      </c>
      <c r="E98" s="5">
        <v>233</v>
      </c>
      <c r="F98" s="5">
        <f>ROUND(Source!BD73,O98)</f>
        <v>5090.57</v>
      </c>
      <c r="G98" s="5" t="s">
        <v>184</v>
      </c>
      <c r="H98" s="5" t="s">
        <v>185</v>
      </c>
      <c r="I98" s="5"/>
      <c r="J98" s="5"/>
      <c r="K98" s="5">
        <v>233</v>
      </c>
      <c r="L98" s="5">
        <v>24</v>
      </c>
      <c r="M98" s="5">
        <v>3</v>
      </c>
      <c r="N98" s="5" t="s">
        <v>3</v>
      </c>
      <c r="O98" s="5">
        <v>2</v>
      </c>
      <c r="P98" s="5"/>
      <c r="Q98" s="5"/>
      <c r="R98" s="5"/>
      <c r="S98" s="5"/>
      <c r="T98" s="5"/>
      <c r="U98" s="5"/>
      <c r="V98" s="5"/>
      <c r="W98" s="5">
        <v>5090.57</v>
      </c>
      <c r="X98" s="5">
        <v>1</v>
      </c>
      <c r="Y98" s="5">
        <v>5090.57</v>
      </c>
      <c r="Z98" s="5"/>
      <c r="AA98" s="5"/>
      <c r="AB98" s="5"/>
    </row>
    <row r="99" spans="1:28">
      <c r="A99" s="5">
        <v>50</v>
      </c>
      <c r="B99" s="5">
        <v>0</v>
      </c>
      <c r="C99" s="5">
        <v>0</v>
      </c>
      <c r="D99" s="5">
        <v>1</v>
      </c>
      <c r="E99" s="5">
        <v>210</v>
      </c>
      <c r="F99" s="5">
        <f>ROUND(Source!X73,O99)</f>
        <v>34324.43</v>
      </c>
      <c r="G99" s="5" t="s">
        <v>186</v>
      </c>
      <c r="H99" s="5" t="s">
        <v>187</v>
      </c>
      <c r="I99" s="5"/>
      <c r="J99" s="5"/>
      <c r="K99" s="5">
        <v>210</v>
      </c>
      <c r="L99" s="5">
        <v>25</v>
      </c>
      <c r="M99" s="5">
        <v>3</v>
      </c>
      <c r="N99" s="5" t="s">
        <v>3</v>
      </c>
      <c r="O99" s="5">
        <v>2</v>
      </c>
      <c r="P99" s="5"/>
      <c r="Q99" s="5"/>
      <c r="R99" s="5"/>
      <c r="S99" s="5"/>
      <c r="T99" s="5"/>
      <c r="U99" s="5"/>
      <c r="V99" s="5"/>
      <c r="W99" s="5">
        <v>34324.43</v>
      </c>
      <c r="X99" s="5">
        <v>1</v>
      </c>
      <c r="Y99" s="5">
        <v>34324.43</v>
      </c>
      <c r="Z99" s="5"/>
      <c r="AA99" s="5"/>
      <c r="AB99" s="5"/>
    </row>
    <row r="100" spans="1:28">
      <c r="A100" s="5">
        <v>50</v>
      </c>
      <c r="B100" s="5">
        <v>0</v>
      </c>
      <c r="C100" s="5">
        <v>0</v>
      </c>
      <c r="D100" s="5">
        <v>1</v>
      </c>
      <c r="E100" s="5">
        <v>211</v>
      </c>
      <c r="F100" s="5">
        <f>ROUND(Source!Y73,O100)</f>
        <v>18630.46</v>
      </c>
      <c r="G100" s="5" t="s">
        <v>188</v>
      </c>
      <c r="H100" s="5" t="s">
        <v>189</v>
      </c>
      <c r="I100" s="5"/>
      <c r="J100" s="5"/>
      <c r="K100" s="5">
        <v>211</v>
      </c>
      <c r="L100" s="5">
        <v>26</v>
      </c>
      <c r="M100" s="5">
        <v>3</v>
      </c>
      <c r="N100" s="5" t="s">
        <v>3</v>
      </c>
      <c r="O100" s="5">
        <v>2</v>
      </c>
      <c r="P100" s="5"/>
      <c r="Q100" s="5"/>
      <c r="R100" s="5"/>
      <c r="S100" s="5"/>
      <c r="T100" s="5"/>
      <c r="U100" s="5"/>
      <c r="V100" s="5"/>
      <c r="W100" s="5">
        <v>18630.46</v>
      </c>
      <c r="X100" s="5">
        <v>1</v>
      </c>
      <c r="Y100" s="5">
        <v>18630.46</v>
      </c>
      <c r="Z100" s="5"/>
      <c r="AA100" s="5"/>
      <c r="AB100" s="5"/>
    </row>
    <row r="101" spans="1:28">
      <c r="A101" s="5">
        <v>50</v>
      </c>
      <c r="B101" s="5">
        <v>0</v>
      </c>
      <c r="C101" s="5">
        <v>0</v>
      </c>
      <c r="D101" s="5">
        <v>1</v>
      </c>
      <c r="E101" s="5">
        <v>224</v>
      </c>
      <c r="F101" s="5">
        <f>ROUND(Source!AR73,O101)</f>
        <v>216723.43</v>
      </c>
      <c r="G101" s="5" t="s">
        <v>190</v>
      </c>
      <c r="H101" s="5" t="s">
        <v>191</v>
      </c>
      <c r="I101" s="5"/>
      <c r="J101" s="5"/>
      <c r="K101" s="5">
        <v>224</v>
      </c>
      <c r="L101" s="5">
        <v>27</v>
      </c>
      <c r="M101" s="5">
        <v>3</v>
      </c>
      <c r="N101" s="5" t="s">
        <v>3</v>
      </c>
      <c r="O101" s="5">
        <v>2</v>
      </c>
      <c r="P101" s="5"/>
      <c r="Q101" s="5"/>
      <c r="R101" s="5"/>
      <c r="S101" s="5"/>
      <c r="T101" s="5"/>
      <c r="U101" s="5"/>
      <c r="V101" s="5"/>
      <c r="W101" s="5">
        <v>216723.43</v>
      </c>
      <c r="X101" s="5">
        <v>1</v>
      </c>
      <c r="Y101" s="5">
        <v>216723.43</v>
      </c>
      <c r="Z101" s="5"/>
      <c r="AA101" s="5"/>
      <c r="AB101" s="5"/>
    </row>
    <row r="104" spans="1:28">
      <c r="A104">
        <v>70</v>
      </c>
      <c r="B104">
        <v>1</v>
      </c>
      <c r="D104">
        <v>1</v>
      </c>
      <c r="E104" t="s">
        <v>192</v>
      </c>
      <c r="F104" t="s">
        <v>193</v>
      </c>
      <c r="G104">
        <v>1</v>
      </c>
      <c r="H104">
        <v>0</v>
      </c>
      <c r="I104" t="s">
        <v>3</v>
      </c>
      <c r="J104">
        <v>1</v>
      </c>
      <c r="K104">
        <v>0</v>
      </c>
      <c r="L104" t="s">
        <v>3</v>
      </c>
      <c r="M104" t="s">
        <v>3</v>
      </c>
      <c r="N104">
        <v>0</v>
      </c>
      <c r="P104" t="s">
        <v>194</v>
      </c>
    </row>
    <row r="105" spans="1:28">
      <c r="A105">
        <v>70</v>
      </c>
      <c r="B105">
        <v>1</v>
      </c>
      <c r="D105">
        <v>2</v>
      </c>
      <c r="E105" t="s">
        <v>195</v>
      </c>
      <c r="F105" t="s">
        <v>196</v>
      </c>
      <c r="G105">
        <v>0</v>
      </c>
      <c r="H105">
        <v>0</v>
      </c>
      <c r="I105" t="s">
        <v>3</v>
      </c>
      <c r="J105">
        <v>1</v>
      </c>
      <c r="K105">
        <v>0</v>
      </c>
      <c r="L105" t="s">
        <v>3</v>
      </c>
      <c r="M105" t="s">
        <v>3</v>
      </c>
      <c r="N105">
        <v>0</v>
      </c>
      <c r="P105" t="s">
        <v>197</v>
      </c>
    </row>
    <row r="106" spans="1:28">
      <c r="A106">
        <v>70</v>
      </c>
      <c r="B106">
        <v>1</v>
      </c>
      <c r="D106">
        <v>3</v>
      </c>
      <c r="E106" t="s">
        <v>198</v>
      </c>
      <c r="F106" t="s">
        <v>199</v>
      </c>
      <c r="G106">
        <v>0</v>
      </c>
      <c r="H106">
        <v>0</v>
      </c>
      <c r="I106" t="s">
        <v>3</v>
      </c>
      <c r="J106">
        <v>1</v>
      </c>
      <c r="K106">
        <v>0</v>
      </c>
      <c r="L106" t="s">
        <v>3</v>
      </c>
      <c r="M106" t="s">
        <v>3</v>
      </c>
      <c r="N106">
        <v>0</v>
      </c>
      <c r="P106" t="s">
        <v>200</v>
      </c>
    </row>
    <row r="107" spans="1:28">
      <c r="A107">
        <v>70</v>
      </c>
      <c r="B107">
        <v>1</v>
      </c>
      <c r="D107">
        <v>4</v>
      </c>
      <c r="E107" t="s">
        <v>201</v>
      </c>
      <c r="F107" t="s">
        <v>202</v>
      </c>
      <c r="G107">
        <v>1</v>
      </c>
      <c r="H107">
        <v>0</v>
      </c>
      <c r="I107" t="s">
        <v>3</v>
      </c>
      <c r="J107">
        <v>2</v>
      </c>
      <c r="K107">
        <v>0</v>
      </c>
      <c r="L107" t="s">
        <v>3</v>
      </c>
      <c r="M107" t="s">
        <v>3</v>
      </c>
      <c r="N107">
        <v>0</v>
      </c>
      <c r="P107" t="s">
        <v>3</v>
      </c>
    </row>
    <row r="108" spans="1:28">
      <c r="A108">
        <v>70</v>
      </c>
      <c r="B108">
        <v>1</v>
      </c>
      <c r="D108">
        <v>5</v>
      </c>
      <c r="E108" t="s">
        <v>203</v>
      </c>
      <c r="F108" t="s">
        <v>204</v>
      </c>
      <c r="G108">
        <v>0</v>
      </c>
      <c r="H108">
        <v>0</v>
      </c>
      <c r="I108" t="s">
        <v>3</v>
      </c>
      <c r="J108">
        <v>2</v>
      </c>
      <c r="K108">
        <v>0</v>
      </c>
      <c r="L108" t="s">
        <v>3</v>
      </c>
      <c r="M108" t="s">
        <v>3</v>
      </c>
      <c r="N108">
        <v>0</v>
      </c>
      <c r="P108" t="s">
        <v>3</v>
      </c>
    </row>
    <row r="109" spans="1:28">
      <c r="A109">
        <v>70</v>
      </c>
      <c r="B109">
        <v>1</v>
      </c>
      <c r="D109">
        <v>6</v>
      </c>
      <c r="E109" t="s">
        <v>205</v>
      </c>
      <c r="F109" t="s">
        <v>206</v>
      </c>
      <c r="G109">
        <v>0</v>
      </c>
      <c r="H109">
        <v>0</v>
      </c>
      <c r="I109" t="s">
        <v>3</v>
      </c>
      <c r="J109">
        <v>2</v>
      </c>
      <c r="K109">
        <v>0</v>
      </c>
      <c r="L109" t="s">
        <v>3</v>
      </c>
      <c r="M109" t="s">
        <v>3</v>
      </c>
      <c r="N109">
        <v>0</v>
      </c>
      <c r="P109" t="s">
        <v>3</v>
      </c>
    </row>
    <row r="110" spans="1:28">
      <c r="A110">
        <v>70</v>
      </c>
      <c r="B110">
        <v>1</v>
      </c>
      <c r="D110">
        <v>7</v>
      </c>
      <c r="E110" t="s">
        <v>207</v>
      </c>
      <c r="F110" t="s">
        <v>208</v>
      </c>
      <c r="G110">
        <v>0</v>
      </c>
      <c r="H110">
        <v>0</v>
      </c>
      <c r="I110" t="s">
        <v>209</v>
      </c>
      <c r="J110">
        <v>0</v>
      </c>
      <c r="K110">
        <v>0</v>
      </c>
      <c r="L110" t="s">
        <v>3</v>
      </c>
      <c r="M110" t="s">
        <v>3</v>
      </c>
      <c r="N110">
        <v>0</v>
      </c>
      <c r="P110" t="s">
        <v>210</v>
      </c>
    </row>
    <row r="111" spans="1:28">
      <c r="A111">
        <v>70</v>
      </c>
      <c r="B111">
        <v>1</v>
      </c>
      <c r="D111">
        <v>8</v>
      </c>
      <c r="E111" t="s">
        <v>211</v>
      </c>
      <c r="F111" t="s">
        <v>212</v>
      </c>
      <c r="G111">
        <v>1</v>
      </c>
      <c r="H111">
        <v>0</v>
      </c>
      <c r="I111" t="s">
        <v>3</v>
      </c>
      <c r="J111">
        <v>5</v>
      </c>
      <c r="K111">
        <v>0</v>
      </c>
      <c r="L111" t="s">
        <v>3</v>
      </c>
      <c r="M111" t="s">
        <v>3</v>
      </c>
      <c r="N111">
        <v>0</v>
      </c>
      <c r="P111" t="s">
        <v>3</v>
      </c>
    </row>
    <row r="112" spans="1:28">
      <c r="A112">
        <v>70</v>
      </c>
      <c r="B112">
        <v>1</v>
      </c>
      <c r="D112">
        <v>9</v>
      </c>
      <c r="E112" t="s">
        <v>213</v>
      </c>
      <c r="F112" t="s">
        <v>214</v>
      </c>
      <c r="G112">
        <v>0</v>
      </c>
      <c r="H112">
        <v>0</v>
      </c>
      <c r="I112" t="s">
        <v>3</v>
      </c>
      <c r="J112">
        <v>5</v>
      </c>
      <c r="K112">
        <v>0</v>
      </c>
      <c r="L112" t="s">
        <v>3</v>
      </c>
      <c r="M112" t="s">
        <v>3</v>
      </c>
      <c r="N112">
        <v>0</v>
      </c>
      <c r="P112" t="s">
        <v>215</v>
      </c>
    </row>
    <row r="113" spans="1:16">
      <c r="A113">
        <v>70</v>
      </c>
      <c r="B113">
        <v>1</v>
      </c>
      <c r="D113">
        <v>10</v>
      </c>
      <c r="E113" t="s">
        <v>216</v>
      </c>
      <c r="F113" t="s">
        <v>217</v>
      </c>
      <c r="G113">
        <v>0</v>
      </c>
      <c r="H113">
        <v>0</v>
      </c>
      <c r="I113" t="s">
        <v>218</v>
      </c>
      <c r="J113">
        <v>5</v>
      </c>
      <c r="K113">
        <v>0</v>
      </c>
      <c r="L113" t="s">
        <v>3</v>
      </c>
      <c r="M113" t="s">
        <v>3</v>
      </c>
      <c r="N113">
        <v>0</v>
      </c>
      <c r="P113" t="s">
        <v>219</v>
      </c>
    </row>
    <row r="114" spans="1:16">
      <c r="A114">
        <v>70</v>
      </c>
      <c r="B114">
        <v>1</v>
      </c>
      <c r="D114">
        <v>11</v>
      </c>
      <c r="E114" t="s">
        <v>220</v>
      </c>
      <c r="F114" t="s">
        <v>221</v>
      </c>
      <c r="G114">
        <v>0</v>
      </c>
      <c r="H114">
        <v>0</v>
      </c>
      <c r="I114" t="s">
        <v>222</v>
      </c>
      <c r="J114">
        <v>0</v>
      </c>
      <c r="K114">
        <v>0</v>
      </c>
      <c r="L114" t="s">
        <v>3</v>
      </c>
      <c r="M114" t="s">
        <v>3</v>
      </c>
      <c r="N114">
        <v>0</v>
      </c>
      <c r="P114" t="s">
        <v>223</v>
      </c>
    </row>
    <row r="115" spans="1:16">
      <c r="A115">
        <v>70</v>
      </c>
      <c r="B115">
        <v>1</v>
      </c>
      <c r="D115">
        <v>12</v>
      </c>
      <c r="E115" t="s">
        <v>224</v>
      </c>
      <c r="F115" t="s">
        <v>225</v>
      </c>
      <c r="G115">
        <v>0</v>
      </c>
      <c r="H115">
        <v>0</v>
      </c>
      <c r="I115" t="s">
        <v>226</v>
      </c>
      <c r="J115">
        <v>0</v>
      </c>
      <c r="K115">
        <v>0</v>
      </c>
      <c r="L115" t="s">
        <v>3</v>
      </c>
      <c r="M115" t="s">
        <v>3</v>
      </c>
      <c r="N115">
        <v>0</v>
      </c>
      <c r="P115" t="s">
        <v>227</v>
      </c>
    </row>
    <row r="116" spans="1:16">
      <c r="A116">
        <v>70</v>
      </c>
      <c r="B116">
        <v>1</v>
      </c>
      <c r="D116">
        <v>13</v>
      </c>
      <c r="E116" t="s">
        <v>228</v>
      </c>
      <c r="F116" t="s">
        <v>229</v>
      </c>
      <c r="G116">
        <v>0</v>
      </c>
      <c r="H116">
        <v>0</v>
      </c>
      <c r="I116" t="s">
        <v>230</v>
      </c>
      <c r="J116">
        <v>0</v>
      </c>
      <c r="K116">
        <v>0</v>
      </c>
      <c r="L116" t="s">
        <v>3</v>
      </c>
      <c r="M116" t="s">
        <v>3</v>
      </c>
      <c r="N116">
        <v>0</v>
      </c>
      <c r="P116" t="s">
        <v>231</v>
      </c>
    </row>
    <row r="117" spans="1:16">
      <c r="A117">
        <v>70</v>
      </c>
      <c r="B117">
        <v>1</v>
      </c>
      <c r="D117">
        <v>14</v>
      </c>
      <c r="E117" t="s">
        <v>232</v>
      </c>
      <c r="F117" t="s">
        <v>233</v>
      </c>
      <c r="G117">
        <v>0</v>
      </c>
      <c r="H117">
        <v>0</v>
      </c>
      <c r="I117" t="s">
        <v>3</v>
      </c>
      <c r="J117">
        <v>0</v>
      </c>
      <c r="K117">
        <v>0</v>
      </c>
      <c r="L117" t="s">
        <v>3</v>
      </c>
      <c r="M117" t="s">
        <v>3</v>
      </c>
      <c r="N117">
        <v>0</v>
      </c>
      <c r="P117" t="s">
        <v>3</v>
      </c>
    </row>
    <row r="118" spans="1:16">
      <c r="A118">
        <v>70</v>
      </c>
      <c r="B118">
        <v>1</v>
      </c>
      <c r="D118">
        <v>15</v>
      </c>
      <c r="E118" t="s">
        <v>234</v>
      </c>
      <c r="F118" t="s">
        <v>235</v>
      </c>
      <c r="G118">
        <v>0</v>
      </c>
      <c r="H118">
        <v>0</v>
      </c>
      <c r="I118" t="s">
        <v>3</v>
      </c>
      <c r="J118">
        <v>0</v>
      </c>
      <c r="K118">
        <v>0</v>
      </c>
      <c r="L118" t="s">
        <v>3</v>
      </c>
      <c r="M118" t="s">
        <v>3</v>
      </c>
      <c r="N118">
        <v>0</v>
      </c>
      <c r="P118" t="s">
        <v>236</v>
      </c>
    </row>
    <row r="119" spans="1:16">
      <c r="A119">
        <v>70</v>
      </c>
      <c r="B119">
        <v>1</v>
      </c>
      <c r="D119">
        <v>16</v>
      </c>
      <c r="E119" t="s">
        <v>237</v>
      </c>
      <c r="F119" t="s">
        <v>238</v>
      </c>
      <c r="G119">
        <v>0</v>
      </c>
      <c r="H119">
        <v>0</v>
      </c>
      <c r="I119" t="s">
        <v>3</v>
      </c>
      <c r="J119">
        <v>3</v>
      </c>
      <c r="K119">
        <v>0</v>
      </c>
      <c r="L119" t="s">
        <v>3</v>
      </c>
      <c r="M119" t="s">
        <v>3</v>
      </c>
      <c r="N119">
        <v>0</v>
      </c>
      <c r="P119" t="s">
        <v>3</v>
      </c>
    </row>
    <row r="120" spans="1:16">
      <c r="A120">
        <v>70</v>
      </c>
      <c r="B120">
        <v>1</v>
      </c>
      <c r="D120">
        <v>17</v>
      </c>
      <c r="E120" t="s">
        <v>239</v>
      </c>
      <c r="F120" t="s">
        <v>240</v>
      </c>
      <c r="G120">
        <v>1</v>
      </c>
      <c r="H120">
        <v>0</v>
      </c>
      <c r="I120" t="s">
        <v>3</v>
      </c>
      <c r="J120">
        <v>3</v>
      </c>
      <c r="K120">
        <v>0</v>
      </c>
      <c r="L120" t="s">
        <v>3</v>
      </c>
      <c r="M120" t="s">
        <v>3</v>
      </c>
      <c r="N120">
        <v>0</v>
      </c>
      <c r="P120" t="s">
        <v>3</v>
      </c>
    </row>
    <row r="121" spans="1:16">
      <c r="A121">
        <v>70</v>
      </c>
      <c r="B121">
        <v>1</v>
      </c>
      <c r="D121">
        <v>1</v>
      </c>
      <c r="E121" t="s">
        <v>241</v>
      </c>
      <c r="F121" t="s">
        <v>242</v>
      </c>
      <c r="G121">
        <v>0.9</v>
      </c>
      <c r="H121">
        <v>1</v>
      </c>
      <c r="I121" t="s">
        <v>243</v>
      </c>
      <c r="J121">
        <v>0</v>
      </c>
      <c r="K121">
        <v>0</v>
      </c>
      <c r="L121" t="s">
        <v>3</v>
      </c>
      <c r="M121" t="s">
        <v>3</v>
      </c>
      <c r="N121">
        <v>0</v>
      </c>
      <c r="P121" t="s">
        <v>244</v>
      </c>
    </row>
    <row r="122" spans="1:16">
      <c r="A122">
        <v>70</v>
      </c>
      <c r="B122">
        <v>1</v>
      </c>
      <c r="D122">
        <v>2</v>
      </c>
      <c r="E122" t="s">
        <v>245</v>
      </c>
      <c r="F122" t="s">
        <v>246</v>
      </c>
      <c r="G122">
        <v>0.85</v>
      </c>
      <c r="H122">
        <v>1</v>
      </c>
      <c r="I122" t="s">
        <v>247</v>
      </c>
      <c r="J122">
        <v>0</v>
      </c>
      <c r="K122">
        <v>0</v>
      </c>
      <c r="L122" t="s">
        <v>3</v>
      </c>
      <c r="M122" t="s">
        <v>3</v>
      </c>
      <c r="N122">
        <v>0</v>
      </c>
      <c r="P122" t="s">
        <v>248</v>
      </c>
    </row>
    <row r="123" spans="1:16">
      <c r="A123">
        <v>70</v>
      </c>
      <c r="B123">
        <v>1</v>
      </c>
      <c r="D123">
        <v>3</v>
      </c>
      <c r="E123" t="s">
        <v>249</v>
      </c>
      <c r="F123" t="s">
        <v>250</v>
      </c>
      <c r="G123">
        <v>1.03</v>
      </c>
      <c r="H123">
        <v>0</v>
      </c>
      <c r="I123" t="s">
        <v>3</v>
      </c>
      <c r="J123">
        <v>0</v>
      </c>
      <c r="K123">
        <v>0</v>
      </c>
      <c r="L123" t="s">
        <v>3</v>
      </c>
      <c r="M123" t="s">
        <v>3</v>
      </c>
      <c r="N123">
        <v>0</v>
      </c>
      <c r="P123" t="s">
        <v>251</v>
      </c>
    </row>
    <row r="124" spans="1:16">
      <c r="A124">
        <v>70</v>
      </c>
      <c r="B124">
        <v>1</v>
      </c>
      <c r="D124">
        <v>4</v>
      </c>
      <c r="E124" t="s">
        <v>252</v>
      </c>
      <c r="F124" t="s">
        <v>253</v>
      </c>
      <c r="G124">
        <v>1.1499999999999999</v>
      </c>
      <c r="H124">
        <v>0</v>
      </c>
      <c r="I124" t="s">
        <v>3</v>
      </c>
      <c r="J124">
        <v>0</v>
      </c>
      <c r="K124">
        <v>0</v>
      </c>
      <c r="L124" t="s">
        <v>3</v>
      </c>
      <c r="M124" t="s">
        <v>3</v>
      </c>
      <c r="N124">
        <v>0</v>
      </c>
      <c r="P124" t="s">
        <v>254</v>
      </c>
    </row>
    <row r="125" spans="1:16">
      <c r="A125">
        <v>70</v>
      </c>
      <c r="B125">
        <v>1</v>
      </c>
      <c r="D125">
        <v>5</v>
      </c>
      <c r="E125" t="s">
        <v>255</v>
      </c>
      <c r="F125" t="s">
        <v>256</v>
      </c>
      <c r="G125">
        <v>7</v>
      </c>
      <c r="H125">
        <v>0</v>
      </c>
      <c r="I125" t="s">
        <v>3</v>
      </c>
      <c r="J125">
        <v>0</v>
      </c>
      <c r="K125">
        <v>0</v>
      </c>
      <c r="L125" t="s">
        <v>3</v>
      </c>
      <c r="M125" t="s">
        <v>3</v>
      </c>
      <c r="N125">
        <v>0</v>
      </c>
      <c r="P125" t="s">
        <v>3</v>
      </c>
    </row>
    <row r="126" spans="1:16">
      <c r="A126">
        <v>70</v>
      </c>
      <c r="B126">
        <v>1</v>
      </c>
      <c r="D126">
        <v>6</v>
      </c>
      <c r="E126" t="s">
        <v>257</v>
      </c>
      <c r="F126" t="s">
        <v>3</v>
      </c>
      <c r="G126">
        <v>2</v>
      </c>
      <c r="H126">
        <v>0</v>
      </c>
      <c r="I126" t="s">
        <v>3</v>
      </c>
      <c r="J126">
        <v>0</v>
      </c>
      <c r="K126">
        <v>0</v>
      </c>
      <c r="L126" t="s">
        <v>3</v>
      </c>
      <c r="M126" t="s">
        <v>3</v>
      </c>
      <c r="N126">
        <v>0</v>
      </c>
      <c r="P126" t="s">
        <v>3</v>
      </c>
    </row>
    <row r="128" spans="1:16">
      <c r="A128">
        <v>-1</v>
      </c>
    </row>
    <row r="130" spans="1:50">
      <c r="A130" s="4">
        <v>75</v>
      </c>
      <c r="B130" s="4" t="s">
        <v>258</v>
      </c>
      <c r="C130" s="4">
        <v>2026</v>
      </c>
      <c r="D130" s="4">
        <v>0</v>
      </c>
      <c r="E130" s="4">
        <v>6</v>
      </c>
      <c r="F130" s="4">
        <v>1</v>
      </c>
      <c r="G130" s="4">
        <v>0</v>
      </c>
      <c r="H130" s="4">
        <v>1</v>
      </c>
      <c r="I130" s="4">
        <v>0</v>
      </c>
      <c r="J130" s="4">
        <v>1</v>
      </c>
      <c r="K130" s="4">
        <v>0</v>
      </c>
      <c r="L130" s="4">
        <v>0</v>
      </c>
      <c r="M130" s="4">
        <v>0</v>
      </c>
      <c r="N130" s="4">
        <v>46261364</v>
      </c>
      <c r="O130" s="4">
        <v>1</v>
      </c>
    </row>
    <row r="131" spans="1:50">
      <c r="A131" s="6">
        <v>2</v>
      </c>
      <c r="B131" s="6" t="s">
        <v>259</v>
      </c>
      <c r="C131" s="6" t="s">
        <v>260</v>
      </c>
      <c r="D131" s="6">
        <v>0</v>
      </c>
      <c r="E131" s="6">
        <v>0</v>
      </c>
      <c r="F131" s="6">
        <v>0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>
        <v>46261365</v>
      </c>
    </row>
    <row r="132" spans="1:50">
      <c r="A132" s="6">
        <v>1</v>
      </c>
      <c r="B132" s="6" t="s">
        <v>261</v>
      </c>
      <c r="C132" s="6" t="s">
        <v>262</v>
      </c>
      <c r="D132" s="6">
        <v>2026</v>
      </c>
      <c r="E132" s="6">
        <v>6</v>
      </c>
      <c r="F132" s="6">
        <v>1</v>
      </c>
      <c r="G132" s="6">
        <v>1</v>
      </c>
      <c r="H132" s="6">
        <v>0</v>
      </c>
      <c r="I132" s="6">
        <v>2</v>
      </c>
      <c r="J132" s="6">
        <v>1</v>
      </c>
      <c r="K132" s="6">
        <v>1</v>
      </c>
      <c r="L132" s="6">
        <v>1</v>
      </c>
      <c r="M132" s="6">
        <v>1</v>
      </c>
      <c r="N132" s="6">
        <v>1</v>
      </c>
      <c r="O132" s="6">
        <v>1</v>
      </c>
      <c r="P132" s="6">
        <v>1</v>
      </c>
      <c r="Q132" s="6">
        <v>1</v>
      </c>
      <c r="R132" s="6" t="s">
        <v>3</v>
      </c>
      <c r="S132" s="6" t="s">
        <v>3</v>
      </c>
      <c r="T132" s="6" t="s">
        <v>3</v>
      </c>
      <c r="U132" s="6" t="s">
        <v>3</v>
      </c>
      <c r="V132" s="6" t="s">
        <v>3</v>
      </c>
      <c r="W132" s="6" t="s">
        <v>3</v>
      </c>
      <c r="X132" s="6" t="s">
        <v>3</v>
      </c>
      <c r="Y132" s="6" t="s">
        <v>3</v>
      </c>
      <c r="Z132" s="6" t="s">
        <v>3</v>
      </c>
      <c r="AA132" s="6" t="s">
        <v>3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>
        <v>46261366</v>
      </c>
      <c r="AO132" s="6" t="s">
        <v>263</v>
      </c>
      <c r="AP132" s="6" t="s">
        <v>264</v>
      </c>
      <c r="AQ132" s="6">
        <v>46164</v>
      </c>
      <c r="AR132" s="6">
        <v>417</v>
      </c>
      <c r="AS132" s="6" t="s">
        <v>265</v>
      </c>
      <c r="AT132" s="6" t="s">
        <v>266</v>
      </c>
      <c r="AU132" s="6" t="s">
        <v>264</v>
      </c>
      <c r="AV132" s="6">
        <v>46087</v>
      </c>
      <c r="AW132" s="6">
        <v>250</v>
      </c>
      <c r="AX132" s="6" t="s">
        <v>267</v>
      </c>
    </row>
    <row r="136" spans="1:50">
      <c r="A136">
        <v>65</v>
      </c>
      <c r="C136">
        <v>1</v>
      </c>
      <c r="D136">
        <v>0</v>
      </c>
      <c r="E136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C53"/>
  <sheetViews>
    <sheetView workbookViewId="0"/>
  </sheetViews>
  <sheetFormatPr defaultColWidth="9.140625" defaultRowHeight="12.75"/>
  <cols>
    <col min="1" max="256" width="9.140625" style="2" customWidth="1"/>
    <col min="257" max="16384" width="9.140625" style="2"/>
  </cols>
  <sheetData>
    <row r="1" spans="1:133">
      <c r="A1" s="2">
        <v>0</v>
      </c>
      <c r="B1" s="2" t="s">
        <v>0</v>
      </c>
      <c r="D1" s="2" t="s">
        <v>268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51908</v>
      </c>
      <c r="M1" s="2">
        <v>10</v>
      </c>
      <c r="N1" s="2">
        <v>12</v>
      </c>
      <c r="O1" s="2">
        <v>1</v>
      </c>
      <c r="P1" s="2">
        <v>0</v>
      </c>
      <c r="Q1" s="2">
        <v>5</v>
      </c>
    </row>
    <row r="12" spans="1:133">
      <c r="A12" s="8">
        <v>1</v>
      </c>
      <c r="B12" s="8">
        <v>51</v>
      </c>
      <c r="C12" s="8">
        <v>0</v>
      </c>
      <c r="D12" s="8"/>
      <c r="E12" s="8">
        <v>0</v>
      </c>
      <c r="F12" s="8" t="s">
        <v>4</v>
      </c>
      <c r="G12" s="8" t="s">
        <v>5</v>
      </c>
      <c r="H12" s="8" t="s">
        <v>3</v>
      </c>
      <c r="I12" s="8">
        <v>0</v>
      </c>
      <c r="J12" s="8" t="s">
        <v>3</v>
      </c>
      <c r="K12" s="8">
        <v>0</v>
      </c>
      <c r="L12" s="8">
        <v>0</v>
      </c>
      <c r="M12" s="8">
        <v>523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3</v>
      </c>
      <c r="V12" s="8">
        <v>0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8" t="s">
        <v>3</v>
      </c>
      <c r="AI12" s="8" t="s">
        <v>3</v>
      </c>
      <c r="AJ12" s="8" t="s">
        <v>3</v>
      </c>
      <c r="AK12" s="8"/>
      <c r="AL12" s="8" t="s">
        <v>3</v>
      </c>
      <c r="AM12" s="8" t="s">
        <v>3</v>
      </c>
      <c r="AN12" s="8" t="s">
        <v>3</v>
      </c>
      <c r="AO12" s="8"/>
      <c r="AP12" s="8" t="s">
        <v>3</v>
      </c>
      <c r="AQ12" s="8" t="s">
        <v>3</v>
      </c>
      <c r="AR12" s="8" t="s">
        <v>3</v>
      </c>
      <c r="AS12" s="8"/>
      <c r="AT12" s="8"/>
      <c r="AU12" s="8"/>
      <c r="AV12" s="8"/>
      <c r="AW12" s="8"/>
      <c r="AX12" s="8" t="s">
        <v>3</v>
      </c>
      <c r="AY12" s="8" t="s">
        <v>3</v>
      </c>
      <c r="AZ12" s="8" t="s">
        <v>3</v>
      </c>
      <c r="BA12" s="8"/>
      <c r="BB12" s="8">
        <v>0</v>
      </c>
      <c r="BC12" s="8"/>
      <c r="BD12" s="8"/>
      <c r="BE12" s="8"/>
      <c r="BF12" s="8"/>
      <c r="BG12" s="8"/>
      <c r="BH12" s="8" t="s">
        <v>6</v>
      </c>
      <c r="BI12" s="8" t="s">
        <v>7</v>
      </c>
      <c r="BJ12" s="8">
        <v>1</v>
      </c>
      <c r="BK12" s="8">
        <v>1</v>
      </c>
      <c r="BL12" s="8">
        <v>0</v>
      </c>
      <c r="BM12" s="8">
        <v>0</v>
      </c>
      <c r="BN12" s="8">
        <v>1</v>
      </c>
      <c r="BO12" s="8">
        <v>0</v>
      </c>
      <c r="BP12" s="8">
        <v>6</v>
      </c>
      <c r="BQ12" s="8">
        <v>2</v>
      </c>
      <c r="BR12" s="8">
        <v>1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 t="s">
        <v>8</v>
      </c>
      <c r="BZ12" s="8" t="s">
        <v>9</v>
      </c>
      <c r="CA12" s="8" t="s">
        <v>10</v>
      </c>
      <c r="CB12" s="8" t="s">
        <v>10</v>
      </c>
      <c r="CC12" s="8" t="s">
        <v>10</v>
      </c>
      <c r="CD12" s="8" t="s">
        <v>10</v>
      </c>
      <c r="CE12" s="8" t="s">
        <v>11</v>
      </c>
      <c r="CF12" s="8">
        <v>0</v>
      </c>
      <c r="CG12" s="8">
        <v>0</v>
      </c>
      <c r="CH12" s="8">
        <v>487096328</v>
      </c>
      <c r="CI12" s="8" t="s">
        <v>3</v>
      </c>
      <c r="CJ12" s="8" t="s">
        <v>3</v>
      </c>
      <c r="CK12" s="8">
        <v>18</v>
      </c>
      <c r="CL12" s="8"/>
      <c r="CM12" s="8"/>
      <c r="CN12" s="8"/>
      <c r="CO12" s="8"/>
      <c r="CP12" s="8"/>
      <c r="CQ12" s="8" t="s">
        <v>12</v>
      </c>
      <c r="CR12" s="8" t="s">
        <v>13</v>
      </c>
      <c r="CS12" s="8">
        <v>46161</v>
      </c>
      <c r="CT12" s="8">
        <v>567</v>
      </c>
      <c r="CU12" s="8">
        <v>18</v>
      </c>
      <c r="CV12" s="8" t="s">
        <v>379</v>
      </c>
      <c r="CW12" s="8"/>
      <c r="CX12" s="8"/>
      <c r="CY12" s="8">
        <v>0</v>
      </c>
      <c r="CZ12" s="8" t="s">
        <v>3</v>
      </c>
      <c r="DA12" s="8" t="s">
        <v>3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>
      <c r="A14" s="8">
        <v>22</v>
      </c>
      <c r="B14" s="8">
        <v>1</v>
      </c>
      <c r="C14" s="8">
        <v>0</v>
      </c>
      <c r="D14" s="8">
        <v>46261364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>
      <c r="A16" s="9">
        <v>3</v>
      </c>
      <c r="B16" s="9">
        <v>1</v>
      </c>
      <c r="C16" s="9" t="s">
        <v>14</v>
      </c>
      <c r="D16" s="9" t="s">
        <v>14</v>
      </c>
      <c r="E16" s="10">
        <f>ROUND((Source!F60)/1000,2)</f>
        <v>216.72</v>
      </c>
      <c r="F16" s="10">
        <f>ROUND((Source!F61)/1000,2)</f>
        <v>0</v>
      </c>
      <c r="G16" s="10">
        <f>ROUND((Source!F52)/1000,2)</f>
        <v>0</v>
      </c>
      <c r="H16" s="10">
        <f>ROUND((Source!F62)/1000+(Source!F63)/1000,2)</f>
        <v>0</v>
      </c>
      <c r="I16" s="10">
        <f>E16+F16+G16+H16</f>
        <v>216.72</v>
      </c>
      <c r="J16" s="10">
        <f>ROUND((Source!F58+Source!F57)/1000,2)</f>
        <v>35.79</v>
      </c>
      <c r="K16" s="10">
        <v>274.95</v>
      </c>
      <c r="L16" s="10">
        <v>0</v>
      </c>
      <c r="M16" s="10">
        <v>0</v>
      </c>
      <c r="N16" s="10">
        <f>I16+L16+M16</f>
        <v>216.72</v>
      </c>
      <c r="AI16" s="9">
        <v>0</v>
      </c>
      <c r="AJ16" s="9">
        <v>0</v>
      </c>
      <c r="AK16" s="9" t="s">
        <v>3</v>
      </c>
      <c r="AL16" s="9" t="s">
        <v>3</v>
      </c>
      <c r="AM16" s="9" t="s">
        <v>3</v>
      </c>
      <c r="AN16" s="9">
        <v>0</v>
      </c>
      <c r="AO16" s="9" t="s">
        <v>3</v>
      </c>
      <c r="AP16" s="9" t="s">
        <v>3</v>
      </c>
      <c r="AT16" s="10">
        <v>163768.54</v>
      </c>
      <c r="AU16" s="10">
        <v>116276.05</v>
      </c>
      <c r="AV16" s="10">
        <v>0</v>
      </c>
      <c r="AW16" s="10">
        <v>0</v>
      </c>
      <c r="AX16" s="10">
        <v>0</v>
      </c>
      <c r="AY16" s="10">
        <v>6613.62</v>
      </c>
      <c r="AZ16" s="10">
        <v>2160.98</v>
      </c>
      <c r="BA16" s="10">
        <v>33627.319999999992</v>
      </c>
      <c r="BB16" s="10">
        <v>216723.43</v>
      </c>
      <c r="BC16" s="10">
        <v>0</v>
      </c>
      <c r="BD16" s="10">
        <v>0</v>
      </c>
      <c r="BE16" s="10">
        <v>0</v>
      </c>
      <c r="BF16" s="10">
        <v>94.508183200000005</v>
      </c>
      <c r="BG16" s="10">
        <v>4.3895453</v>
      </c>
      <c r="BH16" s="10">
        <v>0</v>
      </c>
      <c r="BI16" s="10">
        <v>34324.43</v>
      </c>
      <c r="BJ16" s="10">
        <v>18630.46</v>
      </c>
      <c r="BK16" s="10">
        <v>216723.43</v>
      </c>
    </row>
    <row r="18" spans="1:16">
      <c r="A18" s="2">
        <v>51</v>
      </c>
      <c r="E18" s="2">
        <v>216.72</v>
      </c>
      <c r="F18" s="2">
        <v>0</v>
      </c>
      <c r="G18" s="2">
        <v>0</v>
      </c>
      <c r="H18" s="2">
        <v>0</v>
      </c>
      <c r="I18" s="2">
        <v>216.72</v>
      </c>
      <c r="J18" s="2">
        <v>35.79</v>
      </c>
      <c r="K18" s="2">
        <v>274.95</v>
      </c>
      <c r="L18" s="2">
        <v>0</v>
      </c>
      <c r="M18" s="2">
        <v>0</v>
      </c>
      <c r="N18" s="2">
        <v>216.72</v>
      </c>
    </row>
    <row r="20" spans="1:16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163768.54</v>
      </c>
      <c r="G20" s="11" t="s">
        <v>138</v>
      </c>
      <c r="H20" s="11" t="s">
        <v>139</v>
      </c>
      <c r="I20" s="11"/>
      <c r="J20" s="11"/>
      <c r="K20" s="11">
        <v>201</v>
      </c>
      <c r="L20" s="11">
        <v>1</v>
      </c>
      <c r="M20" s="11">
        <v>3</v>
      </c>
      <c r="N20" s="11" t="s">
        <v>3</v>
      </c>
      <c r="O20" s="11">
        <v>2</v>
      </c>
      <c r="P20" s="11"/>
    </row>
    <row r="21" spans="1:16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116276.05</v>
      </c>
      <c r="G21" s="11" t="s">
        <v>140</v>
      </c>
      <c r="H21" s="11" t="s">
        <v>141</v>
      </c>
      <c r="I21" s="11"/>
      <c r="J21" s="11"/>
      <c r="K21" s="11">
        <v>202</v>
      </c>
      <c r="L21" s="11">
        <v>2</v>
      </c>
      <c r="M21" s="11">
        <v>3</v>
      </c>
      <c r="N21" s="11" t="s">
        <v>3</v>
      </c>
      <c r="O21" s="11">
        <v>2</v>
      </c>
      <c r="P21" s="11"/>
    </row>
    <row r="22" spans="1:16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142</v>
      </c>
      <c r="H22" s="11" t="s">
        <v>143</v>
      </c>
      <c r="I22" s="11"/>
      <c r="J22" s="11"/>
      <c r="K22" s="11">
        <v>222</v>
      </c>
      <c r="L22" s="11">
        <v>3</v>
      </c>
      <c r="M22" s="11">
        <v>3</v>
      </c>
      <c r="N22" s="11" t="s">
        <v>3</v>
      </c>
      <c r="O22" s="11">
        <v>2</v>
      </c>
      <c r="P22" s="11"/>
    </row>
    <row r="23" spans="1:16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116276.05</v>
      </c>
      <c r="G23" s="11" t="s">
        <v>144</v>
      </c>
      <c r="H23" s="11" t="s">
        <v>145</v>
      </c>
      <c r="I23" s="11"/>
      <c r="J23" s="11"/>
      <c r="K23" s="11">
        <v>225</v>
      </c>
      <c r="L23" s="11">
        <v>4</v>
      </c>
      <c r="M23" s="11">
        <v>3</v>
      </c>
      <c r="N23" s="11" t="s">
        <v>3</v>
      </c>
      <c r="O23" s="11">
        <v>2</v>
      </c>
      <c r="P23" s="11"/>
    </row>
    <row r="24" spans="1:16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116276.05</v>
      </c>
      <c r="G24" s="11" t="s">
        <v>146</v>
      </c>
      <c r="H24" s="11" t="s">
        <v>147</v>
      </c>
      <c r="I24" s="11"/>
      <c r="J24" s="11"/>
      <c r="K24" s="11">
        <v>226</v>
      </c>
      <c r="L24" s="11">
        <v>5</v>
      </c>
      <c r="M24" s="11">
        <v>3</v>
      </c>
      <c r="N24" s="11" t="s">
        <v>3</v>
      </c>
      <c r="O24" s="11">
        <v>2</v>
      </c>
      <c r="P24" s="11"/>
    </row>
    <row r="25" spans="1:16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148</v>
      </c>
      <c r="H25" s="11" t="s">
        <v>149</v>
      </c>
      <c r="I25" s="11"/>
      <c r="J25" s="11"/>
      <c r="K25" s="11">
        <v>227</v>
      </c>
      <c r="L25" s="11">
        <v>6</v>
      </c>
      <c r="M25" s="11">
        <v>3</v>
      </c>
      <c r="N25" s="11" t="s">
        <v>3</v>
      </c>
      <c r="O25" s="11">
        <v>2</v>
      </c>
      <c r="P25" s="11"/>
    </row>
    <row r="26" spans="1:16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116276.05</v>
      </c>
      <c r="G26" s="11" t="s">
        <v>150</v>
      </c>
      <c r="H26" s="11" t="s">
        <v>151</v>
      </c>
      <c r="I26" s="11"/>
      <c r="J26" s="11"/>
      <c r="K26" s="11">
        <v>228</v>
      </c>
      <c r="L26" s="11">
        <v>7</v>
      </c>
      <c r="M26" s="11">
        <v>3</v>
      </c>
      <c r="N26" s="11" t="s">
        <v>3</v>
      </c>
      <c r="O26" s="11">
        <v>2</v>
      </c>
      <c r="P26" s="11"/>
    </row>
    <row r="27" spans="1:16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0</v>
      </c>
      <c r="G27" s="11" t="s">
        <v>152</v>
      </c>
      <c r="H27" s="11" t="s">
        <v>153</v>
      </c>
      <c r="I27" s="11"/>
      <c r="J27" s="11"/>
      <c r="K27" s="11">
        <v>216</v>
      </c>
      <c r="L27" s="11">
        <v>8</v>
      </c>
      <c r="M27" s="11">
        <v>3</v>
      </c>
      <c r="N27" s="11" t="s">
        <v>3</v>
      </c>
      <c r="O27" s="11">
        <v>2</v>
      </c>
      <c r="P27" s="11"/>
    </row>
    <row r="28" spans="1:16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154</v>
      </c>
      <c r="H28" s="11" t="s">
        <v>155</v>
      </c>
      <c r="I28" s="11"/>
      <c r="J28" s="11"/>
      <c r="K28" s="11">
        <v>223</v>
      </c>
      <c r="L28" s="11">
        <v>9</v>
      </c>
      <c r="M28" s="11">
        <v>3</v>
      </c>
      <c r="N28" s="11" t="s">
        <v>3</v>
      </c>
      <c r="O28" s="11">
        <v>2</v>
      </c>
      <c r="P28" s="11"/>
    </row>
    <row r="29" spans="1:16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0</v>
      </c>
      <c r="G29" s="11" t="s">
        <v>156</v>
      </c>
      <c r="H29" s="11" t="s">
        <v>157</v>
      </c>
      <c r="I29" s="11"/>
      <c r="J29" s="11"/>
      <c r="K29" s="11">
        <v>229</v>
      </c>
      <c r="L29" s="11">
        <v>10</v>
      </c>
      <c r="M29" s="11">
        <v>3</v>
      </c>
      <c r="N29" s="11" t="s">
        <v>3</v>
      </c>
      <c r="O29" s="11">
        <v>2</v>
      </c>
      <c r="P29" s="11"/>
    </row>
    <row r="30" spans="1:16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6613.62</v>
      </c>
      <c r="G30" s="11" t="s">
        <v>158</v>
      </c>
      <c r="H30" s="11" t="s">
        <v>159</v>
      </c>
      <c r="I30" s="11"/>
      <c r="J30" s="11"/>
      <c r="K30" s="11">
        <v>203</v>
      </c>
      <c r="L30" s="11">
        <v>11</v>
      </c>
      <c r="M30" s="11">
        <v>3</v>
      </c>
      <c r="N30" s="11" t="s">
        <v>3</v>
      </c>
      <c r="O30" s="11">
        <v>2</v>
      </c>
      <c r="P30" s="11"/>
    </row>
    <row r="31" spans="1:16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160</v>
      </c>
      <c r="H31" s="11" t="s">
        <v>161</v>
      </c>
      <c r="I31" s="11"/>
      <c r="J31" s="11"/>
      <c r="K31" s="11">
        <v>231</v>
      </c>
      <c r="L31" s="11">
        <v>12</v>
      </c>
      <c r="M31" s="11">
        <v>3</v>
      </c>
      <c r="N31" s="11" t="s">
        <v>3</v>
      </c>
      <c r="O31" s="11">
        <v>2</v>
      </c>
      <c r="P31" s="11"/>
    </row>
    <row r="32" spans="1:16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2160.98</v>
      </c>
      <c r="G32" s="11" t="s">
        <v>162</v>
      </c>
      <c r="H32" s="11" t="s">
        <v>163</v>
      </c>
      <c r="I32" s="11"/>
      <c r="J32" s="11"/>
      <c r="K32" s="11">
        <v>204</v>
      </c>
      <c r="L32" s="11">
        <v>13</v>
      </c>
      <c r="M32" s="11">
        <v>3</v>
      </c>
      <c r="N32" s="11" t="s">
        <v>3</v>
      </c>
      <c r="O32" s="11">
        <v>2</v>
      </c>
      <c r="P32" s="11"/>
    </row>
    <row r="33" spans="1:16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33627.319999999992</v>
      </c>
      <c r="G33" s="11" t="s">
        <v>164</v>
      </c>
      <c r="H33" s="11" t="s">
        <v>165</v>
      </c>
      <c r="I33" s="11"/>
      <c r="J33" s="11"/>
      <c r="K33" s="11">
        <v>205</v>
      </c>
      <c r="L33" s="11">
        <v>14</v>
      </c>
      <c r="M33" s="11">
        <v>3</v>
      </c>
      <c r="N33" s="11" t="s">
        <v>3</v>
      </c>
      <c r="O33" s="11">
        <v>2</v>
      </c>
      <c r="P33" s="11"/>
    </row>
    <row r="34" spans="1:16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166</v>
      </c>
      <c r="H34" s="11" t="s">
        <v>167</v>
      </c>
      <c r="I34" s="11"/>
      <c r="J34" s="11"/>
      <c r="K34" s="11">
        <v>232</v>
      </c>
      <c r="L34" s="11">
        <v>15</v>
      </c>
      <c r="M34" s="11">
        <v>3</v>
      </c>
      <c r="N34" s="11" t="s">
        <v>3</v>
      </c>
      <c r="O34" s="11">
        <v>2</v>
      </c>
      <c r="P34" s="11"/>
    </row>
    <row r="35" spans="1:16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216723.43</v>
      </c>
      <c r="G35" s="11" t="s">
        <v>168</v>
      </c>
      <c r="H35" s="11" t="s">
        <v>169</v>
      </c>
      <c r="I35" s="11"/>
      <c r="J35" s="11"/>
      <c r="K35" s="11">
        <v>214</v>
      </c>
      <c r="L35" s="11">
        <v>16</v>
      </c>
      <c r="M35" s="11">
        <v>3</v>
      </c>
      <c r="N35" s="11" t="s">
        <v>3</v>
      </c>
      <c r="O35" s="11">
        <v>2</v>
      </c>
      <c r="P35" s="11"/>
    </row>
    <row r="36" spans="1:16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0</v>
      </c>
      <c r="G36" s="11" t="s">
        <v>170</v>
      </c>
      <c r="H36" s="11" t="s">
        <v>171</v>
      </c>
      <c r="I36" s="11"/>
      <c r="J36" s="11"/>
      <c r="K36" s="11">
        <v>215</v>
      </c>
      <c r="L36" s="11">
        <v>17</v>
      </c>
      <c r="M36" s="11">
        <v>3</v>
      </c>
      <c r="N36" s="11" t="s">
        <v>3</v>
      </c>
      <c r="O36" s="11">
        <v>2</v>
      </c>
      <c r="P36" s="11"/>
    </row>
    <row r="37" spans="1:16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172</v>
      </c>
      <c r="H37" s="11" t="s">
        <v>173</v>
      </c>
      <c r="I37" s="11"/>
      <c r="J37" s="11"/>
      <c r="K37" s="11">
        <v>217</v>
      </c>
      <c r="L37" s="11">
        <v>18</v>
      </c>
      <c r="M37" s="11">
        <v>3</v>
      </c>
      <c r="N37" s="11" t="s">
        <v>3</v>
      </c>
      <c r="O37" s="11">
        <v>2</v>
      </c>
      <c r="P37" s="11"/>
    </row>
    <row r="38" spans="1:16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174</v>
      </c>
      <c r="H38" s="11" t="s">
        <v>175</v>
      </c>
      <c r="I38" s="11"/>
      <c r="J38" s="11"/>
      <c r="K38" s="11">
        <v>230</v>
      </c>
      <c r="L38" s="11">
        <v>19</v>
      </c>
      <c r="M38" s="11">
        <v>3</v>
      </c>
      <c r="N38" s="11" t="s">
        <v>3</v>
      </c>
      <c r="O38" s="11">
        <v>2</v>
      </c>
      <c r="P38" s="11"/>
    </row>
    <row r="39" spans="1:16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176</v>
      </c>
      <c r="H39" s="11" t="s">
        <v>177</v>
      </c>
      <c r="I39" s="11"/>
      <c r="J39" s="11"/>
      <c r="K39" s="11">
        <v>206</v>
      </c>
      <c r="L39" s="11">
        <v>20</v>
      </c>
      <c r="M39" s="11">
        <v>3</v>
      </c>
      <c r="N39" s="11" t="s">
        <v>3</v>
      </c>
      <c r="O39" s="11">
        <v>2</v>
      </c>
      <c r="P39" s="11"/>
    </row>
    <row r="40" spans="1:16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94.508183200000005</v>
      </c>
      <c r="G40" s="11" t="s">
        <v>178</v>
      </c>
      <c r="H40" s="11" t="s">
        <v>179</v>
      </c>
      <c r="I40" s="11"/>
      <c r="J40" s="11"/>
      <c r="K40" s="11">
        <v>207</v>
      </c>
      <c r="L40" s="11">
        <v>21</v>
      </c>
      <c r="M40" s="11">
        <v>3</v>
      </c>
      <c r="N40" s="11" t="s">
        <v>3</v>
      </c>
      <c r="O40" s="11">
        <v>-1</v>
      </c>
      <c r="P40" s="11"/>
    </row>
    <row r="41" spans="1:16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4.3895453</v>
      </c>
      <c r="G41" s="11" t="s">
        <v>180</v>
      </c>
      <c r="H41" s="11" t="s">
        <v>181</v>
      </c>
      <c r="I41" s="11"/>
      <c r="J41" s="11"/>
      <c r="K41" s="11">
        <v>208</v>
      </c>
      <c r="L41" s="11">
        <v>22</v>
      </c>
      <c r="M41" s="11">
        <v>3</v>
      </c>
      <c r="N41" s="11" t="s">
        <v>3</v>
      </c>
      <c r="O41" s="11">
        <v>-1</v>
      </c>
      <c r="P41" s="11"/>
    </row>
    <row r="42" spans="1:16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182</v>
      </c>
      <c r="H42" s="11" t="s">
        <v>183</v>
      </c>
      <c r="I42" s="11"/>
      <c r="J42" s="11"/>
      <c r="K42" s="11">
        <v>209</v>
      </c>
      <c r="L42" s="11">
        <v>23</v>
      </c>
      <c r="M42" s="11">
        <v>3</v>
      </c>
      <c r="N42" s="11" t="s">
        <v>3</v>
      </c>
      <c r="O42" s="11">
        <v>2</v>
      </c>
      <c r="P42" s="11"/>
    </row>
    <row r="43" spans="1:16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5090.57</v>
      </c>
      <c r="G43" s="11" t="s">
        <v>184</v>
      </c>
      <c r="H43" s="11" t="s">
        <v>185</v>
      </c>
      <c r="I43" s="11"/>
      <c r="J43" s="11"/>
      <c r="K43" s="11">
        <v>233</v>
      </c>
      <c r="L43" s="11">
        <v>24</v>
      </c>
      <c r="M43" s="11">
        <v>3</v>
      </c>
      <c r="N43" s="11" t="s">
        <v>3</v>
      </c>
      <c r="O43" s="11">
        <v>2</v>
      </c>
      <c r="P43" s="11"/>
    </row>
    <row r="44" spans="1:16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34324.43</v>
      </c>
      <c r="G44" s="11" t="s">
        <v>186</v>
      </c>
      <c r="H44" s="11" t="s">
        <v>187</v>
      </c>
      <c r="I44" s="11"/>
      <c r="J44" s="11"/>
      <c r="K44" s="11">
        <v>210</v>
      </c>
      <c r="L44" s="11">
        <v>25</v>
      </c>
      <c r="M44" s="11">
        <v>3</v>
      </c>
      <c r="N44" s="11" t="s">
        <v>3</v>
      </c>
      <c r="O44" s="11">
        <v>2</v>
      </c>
      <c r="P44" s="11"/>
    </row>
    <row r="45" spans="1:16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18630.46</v>
      </c>
      <c r="G45" s="11" t="s">
        <v>188</v>
      </c>
      <c r="H45" s="11" t="s">
        <v>189</v>
      </c>
      <c r="I45" s="11"/>
      <c r="J45" s="11"/>
      <c r="K45" s="11">
        <v>211</v>
      </c>
      <c r="L45" s="11">
        <v>26</v>
      </c>
      <c r="M45" s="11">
        <v>3</v>
      </c>
      <c r="N45" s="11" t="s">
        <v>3</v>
      </c>
      <c r="O45" s="11">
        <v>2</v>
      </c>
      <c r="P45" s="11"/>
    </row>
    <row r="46" spans="1:16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216723.43</v>
      </c>
      <c r="G46" s="11" t="s">
        <v>190</v>
      </c>
      <c r="H46" s="11" t="s">
        <v>191</v>
      </c>
      <c r="I46" s="11"/>
      <c r="J46" s="11"/>
      <c r="K46" s="11">
        <v>224</v>
      </c>
      <c r="L46" s="11">
        <v>27</v>
      </c>
      <c r="M46" s="11">
        <v>3</v>
      </c>
      <c r="N46" s="11" t="s">
        <v>3</v>
      </c>
      <c r="O46" s="11">
        <v>2</v>
      </c>
      <c r="P46" s="11"/>
    </row>
    <row r="48" spans="1:16">
      <c r="A48" s="2">
        <v>-1</v>
      </c>
    </row>
    <row r="51" spans="1:50">
      <c r="A51" s="12">
        <v>75</v>
      </c>
      <c r="B51" s="12" t="s">
        <v>258</v>
      </c>
      <c r="C51" s="12">
        <v>2026</v>
      </c>
      <c r="D51" s="12">
        <v>0</v>
      </c>
      <c r="E51" s="12">
        <v>6</v>
      </c>
      <c r="F51" s="12">
        <v>1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  <c r="N51" s="12">
        <v>46261364</v>
      </c>
      <c r="O51" s="12">
        <v>1</v>
      </c>
    </row>
    <row r="52" spans="1:50">
      <c r="A52" s="13">
        <v>2</v>
      </c>
      <c r="B52" s="13" t="s">
        <v>259</v>
      </c>
      <c r="C52" s="13" t="s">
        <v>260</v>
      </c>
      <c r="D52" s="13">
        <v>0</v>
      </c>
      <c r="E52" s="13">
        <v>0</v>
      </c>
      <c r="F52" s="13">
        <v>0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>
        <v>46261365</v>
      </c>
    </row>
    <row r="53" spans="1:50">
      <c r="A53" s="13">
        <v>1</v>
      </c>
      <c r="B53" s="13" t="s">
        <v>261</v>
      </c>
      <c r="C53" s="13" t="s">
        <v>262</v>
      </c>
      <c r="D53" s="13">
        <v>2026</v>
      </c>
      <c r="E53" s="13">
        <v>6</v>
      </c>
      <c r="F53" s="13">
        <v>1</v>
      </c>
      <c r="G53" s="13">
        <v>1</v>
      </c>
      <c r="H53" s="13">
        <v>0</v>
      </c>
      <c r="I53" s="13">
        <v>2</v>
      </c>
      <c r="J53" s="13">
        <v>1</v>
      </c>
      <c r="K53" s="13">
        <v>1</v>
      </c>
      <c r="L53" s="13">
        <v>1</v>
      </c>
      <c r="M53" s="13">
        <v>1</v>
      </c>
      <c r="N53" s="13">
        <v>1</v>
      </c>
      <c r="O53" s="13">
        <v>1</v>
      </c>
      <c r="P53" s="13">
        <v>1</v>
      </c>
      <c r="Q53" s="13">
        <v>1</v>
      </c>
      <c r="R53" s="13" t="s">
        <v>3</v>
      </c>
      <c r="S53" s="13" t="s">
        <v>3</v>
      </c>
      <c r="T53" s="13" t="s">
        <v>3</v>
      </c>
      <c r="U53" s="13" t="s">
        <v>3</v>
      </c>
      <c r="V53" s="13" t="s">
        <v>3</v>
      </c>
      <c r="W53" s="13" t="s">
        <v>3</v>
      </c>
      <c r="X53" s="13" t="s">
        <v>3</v>
      </c>
      <c r="Y53" s="13" t="s">
        <v>3</v>
      </c>
      <c r="Z53" s="13" t="s">
        <v>3</v>
      </c>
      <c r="AA53" s="13" t="s">
        <v>3</v>
      </c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>
        <v>46261366</v>
      </c>
      <c r="AO53" s="13" t="s">
        <v>263</v>
      </c>
      <c r="AP53" s="13" t="s">
        <v>264</v>
      </c>
      <c r="AQ53" s="13">
        <v>46164</v>
      </c>
      <c r="AR53" s="13">
        <v>417</v>
      </c>
      <c r="AS53" s="13" t="s">
        <v>265</v>
      </c>
      <c r="AT53" s="13" t="s">
        <v>266</v>
      </c>
      <c r="AU53" s="13" t="s">
        <v>264</v>
      </c>
      <c r="AV53" s="13">
        <v>46087</v>
      </c>
      <c r="AW53" s="13">
        <v>250</v>
      </c>
      <c r="AX53" s="13" t="s">
        <v>267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O51"/>
  <sheetViews>
    <sheetView workbookViewId="0"/>
  </sheetViews>
  <sheetFormatPr defaultColWidth="9.140625" defaultRowHeight="12.75"/>
  <cols>
    <col min="1" max="256" width="9.140625" customWidth="1"/>
  </cols>
  <sheetData>
    <row r="1" spans="1:119">
      <c r="A1">
        <f>ROW(Source!A24)</f>
        <v>24</v>
      </c>
      <c r="B1">
        <v>46261364</v>
      </c>
      <c r="C1">
        <v>46261378</v>
      </c>
      <c r="D1">
        <v>44652062</v>
      </c>
      <c r="E1">
        <v>118</v>
      </c>
      <c r="F1">
        <v>1</v>
      </c>
      <c r="G1">
        <v>1</v>
      </c>
      <c r="H1">
        <v>1</v>
      </c>
      <c r="I1" t="s">
        <v>269</v>
      </c>
      <c r="J1" t="s">
        <v>3</v>
      </c>
      <c r="K1" t="s">
        <v>270</v>
      </c>
      <c r="L1">
        <v>1191</v>
      </c>
      <c r="N1">
        <v>1013</v>
      </c>
      <c r="O1" t="s">
        <v>271</v>
      </c>
      <c r="P1" t="s">
        <v>271</v>
      </c>
      <c r="Q1">
        <v>1</v>
      </c>
      <c r="W1">
        <v>0</v>
      </c>
      <c r="X1">
        <v>-1991603921</v>
      </c>
      <c r="Y1">
        <f t="shared" ref="Y1:Y12" si="0">AT1</f>
        <v>2.94</v>
      </c>
      <c r="AA1">
        <v>0</v>
      </c>
      <c r="AB1">
        <v>0</v>
      </c>
      <c r="AC1">
        <v>0</v>
      </c>
      <c r="AD1">
        <v>335.1</v>
      </c>
      <c r="AE1">
        <v>0</v>
      </c>
      <c r="AF1">
        <v>0</v>
      </c>
      <c r="AG1">
        <v>0</v>
      </c>
      <c r="AH1">
        <v>335.1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0</v>
      </c>
      <c r="AQ1">
        <v>1</v>
      </c>
      <c r="AR1">
        <v>0</v>
      </c>
      <c r="AS1" t="s">
        <v>3</v>
      </c>
      <c r="AT1">
        <v>2.94</v>
      </c>
      <c r="AU1" t="s">
        <v>3</v>
      </c>
      <c r="AV1">
        <v>1</v>
      </c>
      <c r="AW1">
        <v>2</v>
      </c>
      <c r="AX1">
        <v>46261379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985.19400000000007</v>
      </c>
      <c r="BN1">
        <v>2.94</v>
      </c>
      <c r="BO1">
        <v>0</v>
      </c>
      <c r="BP1">
        <v>1</v>
      </c>
      <c r="BQ1">
        <v>0</v>
      </c>
      <c r="BR1">
        <v>0</v>
      </c>
      <c r="BS1">
        <v>0</v>
      </c>
      <c r="BT1">
        <v>985.19400000000007</v>
      </c>
      <c r="BU1">
        <v>2.94</v>
      </c>
      <c r="BV1">
        <v>0</v>
      </c>
      <c r="BW1">
        <v>1</v>
      </c>
      <c r="CU1">
        <f>ROUND(AT1*Source!I24*AH1*AL1,2)</f>
        <v>1103.42</v>
      </c>
      <c r="CV1">
        <f>ROUND(Y1*Source!I24,7)</f>
        <v>3.2928000000000002</v>
      </c>
      <c r="CW1">
        <v>0</v>
      </c>
      <c r="CX1">
        <f>ROUND(Y1*Source!I24,7)</f>
        <v>3.2928000000000002</v>
      </c>
      <c r="CY1">
        <f>AD1</f>
        <v>335.1</v>
      </c>
      <c r="CZ1">
        <f>AH1</f>
        <v>335.1</v>
      </c>
      <c r="DA1">
        <f>AL1</f>
        <v>1</v>
      </c>
      <c r="DB1">
        <f t="shared" ref="DB1:DB12" si="1">ROUND(ROUND(AT1*CZ1,2),6)</f>
        <v>985.19</v>
      </c>
      <c r="DC1">
        <f t="shared" ref="DC1:DC12" si="2">ROUND(ROUND(AT1*AG1,2),6)</f>
        <v>0</v>
      </c>
      <c r="DD1" t="s">
        <v>3</v>
      </c>
      <c r="DE1" t="s">
        <v>3</v>
      </c>
      <c r="DF1">
        <f>ROUND(ROUND(AE1,2)*CX1,2)</f>
        <v>0</v>
      </c>
      <c r="DG1">
        <f>ROUND(ROUND(AF1,2)*CX1,2)</f>
        <v>0</v>
      </c>
      <c r="DH1">
        <f t="shared" ref="DH1:DH32" si="3">ROUND(ROUND(AG1,2)*CX1,2)</f>
        <v>0</v>
      </c>
      <c r="DI1">
        <f t="shared" ref="DI1:DI32" si="4">ROUND(ROUND(AH1,2)*CX1,2)</f>
        <v>1103.42</v>
      </c>
      <c r="DJ1">
        <f>DI1</f>
        <v>1103.42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>
      <c r="A2">
        <f>ROW(Source!A25)</f>
        <v>25</v>
      </c>
      <c r="B2">
        <v>46261364</v>
      </c>
      <c r="C2">
        <v>46261764</v>
      </c>
      <c r="D2">
        <v>44652041</v>
      </c>
      <c r="E2">
        <v>118</v>
      </c>
      <c r="F2">
        <v>1</v>
      </c>
      <c r="G2">
        <v>1</v>
      </c>
      <c r="H2">
        <v>1</v>
      </c>
      <c r="I2" t="s">
        <v>272</v>
      </c>
      <c r="J2" t="s">
        <v>3</v>
      </c>
      <c r="K2" t="s">
        <v>273</v>
      </c>
      <c r="L2">
        <v>1191</v>
      </c>
      <c r="N2">
        <v>1013</v>
      </c>
      <c r="O2" t="s">
        <v>271</v>
      </c>
      <c r="P2" t="s">
        <v>271</v>
      </c>
      <c r="Q2">
        <v>1</v>
      </c>
      <c r="W2">
        <v>0</v>
      </c>
      <c r="X2">
        <v>370475345</v>
      </c>
      <c r="Y2">
        <f t="shared" si="0"/>
        <v>8.6</v>
      </c>
      <c r="AA2">
        <v>0</v>
      </c>
      <c r="AB2">
        <v>0</v>
      </c>
      <c r="AC2">
        <v>0</v>
      </c>
      <c r="AD2">
        <v>320.41000000000003</v>
      </c>
      <c r="AE2">
        <v>0</v>
      </c>
      <c r="AF2">
        <v>0</v>
      </c>
      <c r="AG2">
        <v>0</v>
      </c>
      <c r="AH2">
        <v>320.41000000000003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8.6</v>
      </c>
      <c r="AU2" t="s">
        <v>3</v>
      </c>
      <c r="AV2">
        <v>1</v>
      </c>
      <c r="AW2">
        <v>2</v>
      </c>
      <c r="AX2">
        <v>46261765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2755.5260000000003</v>
      </c>
      <c r="BN2">
        <v>8.6</v>
      </c>
      <c r="BO2">
        <v>0</v>
      </c>
      <c r="BP2">
        <v>1</v>
      </c>
      <c r="BQ2">
        <v>0</v>
      </c>
      <c r="BR2">
        <v>0</v>
      </c>
      <c r="BS2">
        <v>0</v>
      </c>
      <c r="BT2">
        <v>2755.5260000000003</v>
      </c>
      <c r="BU2">
        <v>8.6</v>
      </c>
      <c r="BV2">
        <v>0</v>
      </c>
      <c r="BW2">
        <v>1</v>
      </c>
      <c r="CU2">
        <f>ROUND(AT2*Source!I25*AH2*AL2,2)</f>
        <v>92.59</v>
      </c>
      <c r="CV2">
        <f>ROUND(Y2*Source!I25,7)</f>
        <v>0.28895999999999999</v>
      </c>
      <c r="CW2">
        <v>0</v>
      </c>
      <c r="CX2">
        <f>ROUND(Y2*Source!I25,7)</f>
        <v>0.28895999999999999</v>
      </c>
      <c r="CY2">
        <f>AD2</f>
        <v>320.41000000000003</v>
      </c>
      <c r="CZ2">
        <f>AH2</f>
        <v>320.41000000000003</v>
      </c>
      <c r="DA2">
        <f>AL2</f>
        <v>1</v>
      </c>
      <c r="DB2">
        <f t="shared" si="1"/>
        <v>2755.53</v>
      </c>
      <c r="DC2">
        <f t="shared" si="2"/>
        <v>0</v>
      </c>
      <c r="DD2" t="s">
        <v>3</v>
      </c>
      <c r="DE2" t="s">
        <v>3</v>
      </c>
      <c r="DF2">
        <f>ROUND(ROUND(AE2,2)*CX2,2)</f>
        <v>0</v>
      </c>
      <c r="DG2">
        <f>ROUND(ROUND(AF2,2)*CX2,2)</f>
        <v>0</v>
      </c>
      <c r="DH2">
        <f t="shared" si="3"/>
        <v>0</v>
      </c>
      <c r="DI2">
        <f t="shared" si="4"/>
        <v>92.59</v>
      </c>
      <c r="DJ2">
        <f>DI2</f>
        <v>92.59</v>
      </c>
      <c r="DK2">
        <v>1</v>
      </c>
      <c r="DL2" t="s">
        <v>3</v>
      </c>
      <c r="DM2">
        <v>0</v>
      </c>
      <c r="DN2" t="s">
        <v>3</v>
      </c>
      <c r="DO2">
        <v>0</v>
      </c>
    </row>
    <row r="3" spans="1:119">
      <c r="A3">
        <f>ROW(Source!A25)</f>
        <v>25</v>
      </c>
      <c r="B3">
        <v>46261364</v>
      </c>
      <c r="C3">
        <v>46261764</v>
      </c>
      <c r="D3">
        <v>44652282</v>
      </c>
      <c r="E3">
        <v>118</v>
      </c>
      <c r="F3">
        <v>1</v>
      </c>
      <c r="G3">
        <v>1</v>
      </c>
      <c r="H3">
        <v>1</v>
      </c>
      <c r="I3" t="s">
        <v>274</v>
      </c>
      <c r="J3" t="s">
        <v>3</v>
      </c>
      <c r="K3" t="s">
        <v>275</v>
      </c>
      <c r="L3">
        <v>1191</v>
      </c>
      <c r="N3">
        <v>1013</v>
      </c>
      <c r="O3" t="s">
        <v>271</v>
      </c>
      <c r="P3" t="s">
        <v>271</v>
      </c>
      <c r="Q3">
        <v>1</v>
      </c>
      <c r="W3">
        <v>0</v>
      </c>
      <c r="X3">
        <v>-1417349443</v>
      </c>
      <c r="Y3">
        <f t="shared" si="0"/>
        <v>24.93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24.93</v>
      </c>
      <c r="AU3" t="s">
        <v>3</v>
      </c>
      <c r="AV3">
        <v>2</v>
      </c>
      <c r="AW3">
        <v>2</v>
      </c>
      <c r="AX3">
        <v>46261766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CV3">
        <v>0</v>
      </c>
      <c r="CW3">
        <v>0</v>
      </c>
      <c r="CX3">
        <f>ROUND(Y3*Source!I25,7)</f>
        <v>0.83764799999999995</v>
      </c>
      <c r="CY3">
        <f>AD3</f>
        <v>0</v>
      </c>
      <c r="CZ3">
        <f>AH3</f>
        <v>0</v>
      </c>
      <c r="DA3">
        <f>AL3</f>
        <v>1</v>
      </c>
      <c r="DB3">
        <f t="shared" si="1"/>
        <v>0</v>
      </c>
      <c r="DC3">
        <f t="shared" si="2"/>
        <v>0</v>
      </c>
      <c r="DD3" t="s">
        <v>3</v>
      </c>
      <c r="DE3" t="s">
        <v>3</v>
      </c>
      <c r="DF3">
        <f>ROUND(ROUND(AE3,2)*CX3,2)</f>
        <v>0</v>
      </c>
      <c r="DG3">
        <f>ROUND(ROUND(AF3,2)*CX3,2)</f>
        <v>0</v>
      </c>
      <c r="DH3">
        <f t="shared" si="3"/>
        <v>0</v>
      </c>
      <c r="DI3">
        <f t="shared" si="4"/>
        <v>0</v>
      </c>
      <c r="DJ3">
        <f>DI3</f>
        <v>0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>
      <c r="A4">
        <f>ROW(Source!A25)</f>
        <v>25</v>
      </c>
      <c r="B4">
        <v>46261364</v>
      </c>
      <c r="C4">
        <v>46261764</v>
      </c>
      <c r="D4">
        <v>44778298</v>
      </c>
      <c r="E4">
        <v>1</v>
      </c>
      <c r="F4">
        <v>1</v>
      </c>
      <c r="G4">
        <v>1</v>
      </c>
      <c r="H4">
        <v>2</v>
      </c>
      <c r="I4" t="s">
        <v>276</v>
      </c>
      <c r="J4" t="s">
        <v>277</v>
      </c>
      <c r="K4" t="s">
        <v>278</v>
      </c>
      <c r="L4">
        <v>1368</v>
      </c>
      <c r="N4">
        <v>1011</v>
      </c>
      <c r="O4" t="s">
        <v>279</v>
      </c>
      <c r="P4" t="s">
        <v>279</v>
      </c>
      <c r="Q4">
        <v>1</v>
      </c>
      <c r="W4">
        <v>0</v>
      </c>
      <c r="X4">
        <v>1150832446</v>
      </c>
      <c r="Y4">
        <f t="shared" si="0"/>
        <v>6.23</v>
      </c>
      <c r="AA4">
        <v>0</v>
      </c>
      <c r="AB4">
        <v>1242.56</v>
      </c>
      <c r="AC4">
        <v>529.11</v>
      </c>
      <c r="AD4">
        <v>0</v>
      </c>
      <c r="AE4">
        <v>0</v>
      </c>
      <c r="AF4">
        <v>887.54</v>
      </c>
      <c r="AG4">
        <v>529.11</v>
      </c>
      <c r="AH4">
        <v>0</v>
      </c>
      <c r="AI4">
        <v>1</v>
      </c>
      <c r="AJ4">
        <v>1.4</v>
      </c>
      <c r="AK4">
        <v>1</v>
      </c>
      <c r="AL4">
        <v>1</v>
      </c>
      <c r="AM4">
        <v>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6.23</v>
      </c>
      <c r="AU4" t="s">
        <v>3</v>
      </c>
      <c r="AV4">
        <v>1</v>
      </c>
      <c r="AW4">
        <v>2</v>
      </c>
      <c r="AX4">
        <v>46261767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5529.3742000000002</v>
      </c>
      <c r="BL4">
        <v>3296.3553000000002</v>
      </c>
      <c r="BM4">
        <v>0</v>
      </c>
      <c r="BN4">
        <v>0</v>
      </c>
      <c r="BO4">
        <v>6.23</v>
      </c>
      <c r="BP4">
        <v>1</v>
      </c>
      <c r="BQ4">
        <v>0</v>
      </c>
      <c r="BR4">
        <v>5529.3742000000002</v>
      </c>
      <c r="BS4">
        <v>3296.3553000000002</v>
      </c>
      <c r="BT4">
        <v>0</v>
      </c>
      <c r="BU4">
        <v>0</v>
      </c>
      <c r="BV4">
        <v>6.23</v>
      </c>
      <c r="BW4">
        <v>1</v>
      </c>
      <c r="CV4">
        <v>0</v>
      </c>
      <c r="CW4">
        <f>ROUND(Y4*Source!I25*DO4,7)</f>
        <v>0.20932799999999999</v>
      </c>
      <c r="CX4">
        <f>ROUND(Y4*Source!I25,7)</f>
        <v>0.20932799999999999</v>
      </c>
      <c r="CY4">
        <f>AB4</f>
        <v>1242.56</v>
      </c>
      <c r="CZ4">
        <f>AF4</f>
        <v>887.54</v>
      </c>
      <c r="DA4">
        <f>AJ4</f>
        <v>1.4</v>
      </c>
      <c r="DB4">
        <f t="shared" si="1"/>
        <v>5529.37</v>
      </c>
      <c r="DC4">
        <f t="shared" si="2"/>
        <v>3296.36</v>
      </c>
      <c r="DD4" t="s">
        <v>3</v>
      </c>
      <c r="DE4" t="s">
        <v>3</v>
      </c>
      <c r="DF4">
        <f>ROUND(ROUND(AE4,2)*CX4,2)</f>
        <v>0</v>
      </c>
      <c r="DG4">
        <f>ROUND(ROUND(AF4*AJ4,2)*CX4,2)</f>
        <v>260.10000000000002</v>
      </c>
      <c r="DH4">
        <f t="shared" si="3"/>
        <v>110.76</v>
      </c>
      <c r="DI4">
        <f t="shared" si="4"/>
        <v>0</v>
      </c>
      <c r="DJ4">
        <f>DG4+DH4</f>
        <v>370.86</v>
      </c>
      <c r="DK4">
        <v>0</v>
      </c>
      <c r="DL4" t="s">
        <v>280</v>
      </c>
      <c r="DM4">
        <v>6</v>
      </c>
      <c r="DN4" t="s">
        <v>271</v>
      </c>
      <c r="DO4">
        <v>1</v>
      </c>
    </row>
    <row r="5" spans="1:119">
      <c r="A5">
        <f>ROW(Source!A25)</f>
        <v>25</v>
      </c>
      <c r="B5">
        <v>46261364</v>
      </c>
      <c r="C5">
        <v>46261764</v>
      </c>
      <c r="D5">
        <v>44778351</v>
      </c>
      <c r="E5">
        <v>1</v>
      </c>
      <c r="F5">
        <v>1</v>
      </c>
      <c r="G5">
        <v>1</v>
      </c>
      <c r="H5">
        <v>2</v>
      </c>
      <c r="I5" t="s">
        <v>281</v>
      </c>
      <c r="J5" t="s">
        <v>282</v>
      </c>
      <c r="K5" t="s">
        <v>283</v>
      </c>
      <c r="L5">
        <v>1368</v>
      </c>
      <c r="N5">
        <v>1011</v>
      </c>
      <c r="O5" t="s">
        <v>279</v>
      </c>
      <c r="P5" t="s">
        <v>279</v>
      </c>
      <c r="Q5">
        <v>1</v>
      </c>
      <c r="W5">
        <v>0</v>
      </c>
      <c r="X5">
        <v>-1555366167</v>
      </c>
      <c r="Y5">
        <f t="shared" si="0"/>
        <v>18.7</v>
      </c>
      <c r="AA5">
        <v>0</v>
      </c>
      <c r="AB5">
        <v>1736.45</v>
      </c>
      <c r="AC5">
        <v>529.11</v>
      </c>
      <c r="AD5">
        <v>0</v>
      </c>
      <c r="AE5">
        <v>0</v>
      </c>
      <c r="AF5">
        <v>1736.45</v>
      </c>
      <c r="AG5">
        <v>529.11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18.7</v>
      </c>
      <c r="AU5" t="s">
        <v>3</v>
      </c>
      <c r="AV5">
        <v>1</v>
      </c>
      <c r="AW5">
        <v>2</v>
      </c>
      <c r="AX5">
        <v>46261768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32471.614999999998</v>
      </c>
      <c r="BL5">
        <v>9894.357</v>
      </c>
      <c r="BM5">
        <v>0</v>
      </c>
      <c r="BN5">
        <v>0</v>
      </c>
      <c r="BO5">
        <v>18.7</v>
      </c>
      <c r="BP5">
        <v>1</v>
      </c>
      <c r="BQ5">
        <v>0</v>
      </c>
      <c r="BR5">
        <v>32471.614999999998</v>
      </c>
      <c r="BS5">
        <v>9894.357</v>
      </c>
      <c r="BT5">
        <v>0</v>
      </c>
      <c r="BU5">
        <v>0</v>
      </c>
      <c r="BV5">
        <v>18.7</v>
      </c>
      <c r="BW5">
        <v>1</v>
      </c>
      <c r="CV5">
        <v>0</v>
      </c>
      <c r="CW5">
        <f>ROUND(Y5*Source!I25*DO5,7)</f>
        <v>0.62831999999999999</v>
      </c>
      <c r="CX5">
        <f>ROUND(Y5*Source!I25,7)</f>
        <v>0.62831999999999999</v>
      </c>
      <c r="CY5">
        <f>AB5</f>
        <v>1736.45</v>
      </c>
      <c r="CZ5">
        <f>AF5</f>
        <v>1736.45</v>
      </c>
      <c r="DA5">
        <f>AJ5</f>
        <v>1</v>
      </c>
      <c r="DB5">
        <f t="shared" si="1"/>
        <v>32471.62</v>
      </c>
      <c r="DC5">
        <f t="shared" si="2"/>
        <v>9894.36</v>
      </c>
      <c r="DD5" t="s">
        <v>3</v>
      </c>
      <c r="DE5" t="s">
        <v>3</v>
      </c>
      <c r="DF5">
        <f>ROUND(ROUND(AE5,2)*CX5,2)</f>
        <v>0</v>
      </c>
      <c r="DG5">
        <f t="shared" ref="DG5:DG10" si="5">ROUND(ROUND(AF5,2)*CX5,2)</f>
        <v>1091.05</v>
      </c>
      <c r="DH5">
        <f t="shared" si="3"/>
        <v>332.45</v>
      </c>
      <c r="DI5">
        <f t="shared" si="4"/>
        <v>0</v>
      </c>
      <c r="DJ5">
        <f>DG5+DH5</f>
        <v>1423.5</v>
      </c>
      <c r="DK5">
        <v>1</v>
      </c>
      <c r="DL5" t="s">
        <v>280</v>
      </c>
      <c r="DM5">
        <v>6</v>
      </c>
      <c r="DN5" t="s">
        <v>271</v>
      </c>
      <c r="DO5">
        <v>1</v>
      </c>
    </row>
    <row r="6" spans="1:119">
      <c r="A6">
        <f>ROW(Source!A25)</f>
        <v>25</v>
      </c>
      <c r="B6">
        <v>46261364</v>
      </c>
      <c r="C6">
        <v>46261764</v>
      </c>
      <c r="D6">
        <v>44731785</v>
      </c>
      <c r="E6">
        <v>1</v>
      </c>
      <c r="F6">
        <v>1</v>
      </c>
      <c r="G6">
        <v>1</v>
      </c>
      <c r="H6">
        <v>3</v>
      </c>
      <c r="I6" t="s">
        <v>284</v>
      </c>
      <c r="J6" t="s">
        <v>285</v>
      </c>
      <c r="K6" t="s">
        <v>286</v>
      </c>
      <c r="L6">
        <v>1339</v>
      </c>
      <c r="N6">
        <v>1007</v>
      </c>
      <c r="O6" t="s">
        <v>75</v>
      </c>
      <c r="P6" t="s">
        <v>75</v>
      </c>
      <c r="Q6">
        <v>1</v>
      </c>
      <c r="W6">
        <v>0</v>
      </c>
      <c r="X6">
        <v>247767544</v>
      </c>
      <c r="Y6">
        <f t="shared" si="0"/>
        <v>0.05</v>
      </c>
      <c r="AA6">
        <v>3232.97</v>
      </c>
      <c r="AB6">
        <v>0</v>
      </c>
      <c r="AC6">
        <v>0</v>
      </c>
      <c r="AD6">
        <v>0</v>
      </c>
      <c r="AE6">
        <v>2184.44</v>
      </c>
      <c r="AF6">
        <v>0</v>
      </c>
      <c r="AG6">
        <v>0</v>
      </c>
      <c r="AH6">
        <v>0</v>
      </c>
      <c r="AI6">
        <v>1.48</v>
      </c>
      <c r="AJ6">
        <v>1</v>
      </c>
      <c r="AK6">
        <v>1</v>
      </c>
      <c r="AL6">
        <v>1</v>
      </c>
      <c r="AM6">
        <v>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0.05</v>
      </c>
      <c r="AU6" t="s">
        <v>3</v>
      </c>
      <c r="AV6">
        <v>0</v>
      </c>
      <c r="AW6">
        <v>2</v>
      </c>
      <c r="AX6">
        <v>46261769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109.22200000000001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109.22200000000001</v>
      </c>
      <c r="BR6">
        <v>0</v>
      </c>
      <c r="BS6">
        <v>0</v>
      </c>
      <c r="BT6">
        <v>0</v>
      </c>
      <c r="BU6">
        <v>0</v>
      </c>
      <c r="BV6">
        <v>0</v>
      </c>
      <c r="BW6">
        <v>1</v>
      </c>
      <c r="CV6">
        <v>0</v>
      </c>
      <c r="CW6">
        <v>0</v>
      </c>
      <c r="CX6">
        <f>ROUND(Y6*Source!I25,7)</f>
        <v>1.6800000000000001E-3</v>
      </c>
      <c r="CY6">
        <f>AA6</f>
        <v>3232.97</v>
      </c>
      <c r="CZ6">
        <f>AE6</f>
        <v>2184.44</v>
      </c>
      <c r="DA6">
        <f>AI6</f>
        <v>1.48</v>
      </c>
      <c r="DB6">
        <f t="shared" si="1"/>
        <v>109.22</v>
      </c>
      <c r="DC6">
        <f t="shared" si="2"/>
        <v>0</v>
      </c>
      <c r="DD6" t="s">
        <v>3</v>
      </c>
      <c r="DE6" t="s">
        <v>3</v>
      </c>
      <c r="DF6">
        <f>ROUND(ROUND(AE6*AI6,2)*CX6,2)</f>
        <v>5.43</v>
      </c>
      <c r="DG6">
        <f t="shared" si="5"/>
        <v>0</v>
      </c>
      <c r="DH6">
        <f t="shared" si="3"/>
        <v>0</v>
      </c>
      <c r="DI6">
        <f t="shared" si="4"/>
        <v>0</v>
      </c>
      <c r="DJ6">
        <f>DF6</f>
        <v>5.43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>
      <c r="A7">
        <f>ROW(Source!A27)</f>
        <v>27</v>
      </c>
      <c r="B7">
        <v>46261364</v>
      </c>
      <c r="C7">
        <v>46262820</v>
      </c>
      <c r="D7">
        <v>44652237</v>
      </c>
      <c r="E7">
        <v>118</v>
      </c>
      <c r="F7">
        <v>1</v>
      </c>
      <c r="G7">
        <v>1</v>
      </c>
      <c r="H7">
        <v>1</v>
      </c>
      <c r="I7" t="s">
        <v>287</v>
      </c>
      <c r="J7" t="s">
        <v>3</v>
      </c>
      <c r="K7" t="s">
        <v>288</v>
      </c>
      <c r="L7">
        <v>1369</v>
      </c>
      <c r="N7">
        <v>1013</v>
      </c>
      <c r="O7" t="s">
        <v>289</v>
      </c>
      <c r="P7" t="s">
        <v>289</v>
      </c>
      <c r="Q7">
        <v>1</v>
      </c>
      <c r="W7">
        <v>0</v>
      </c>
      <c r="X7">
        <v>-236928766</v>
      </c>
      <c r="Y7">
        <f t="shared" si="0"/>
        <v>77.25</v>
      </c>
      <c r="AA7">
        <v>0</v>
      </c>
      <c r="AB7">
        <v>0</v>
      </c>
      <c r="AC7">
        <v>0</v>
      </c>
      <c r="AD7">
        <v>320.41000000000003</v>
      </c>
      <c r="AE7">
        <v>0</v>
      </c>
      <c r="AF7">
        <v>0</v>
      </c>
      <c r="AG7">
        <v>0</v>
      </c>
      <c r="AH7">
        <v>320.41000000000003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77.25</v>
      </c>
      <c r="AU7" t="s">
        <v>3</v>
      </c>
      <c r="AV7">
        <v>1</v>
      </c>
      <c r="AW7">
        <v>2</v>
      </c>
      <c r="AX7">
        <v>46262821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24751.672500000001</v>
      </c>
      <c r="BN7">
        <v>77.25</v>
      </c>
      <c r="BO7">
        <v>0</v>
      </c>
      <c r="BP7">
        <v>1</v>
      </c>
      <c r="BQ7">
        <v>0</v>
      </c>
      <c r="BR7">
        <v>0</v>
      </c>
      <c r="BS7">
        <v>0</v>
      </c>
      <c r="BT7">
        <v>24751.672500000001</v>
      </c>
      <c r="BU7">
        <v>77.25</v>
      </c>
      <c r="BV7">
        <v>0</v>
      </c>
      <c r="BW7">
        <v>1</v>
      </c>
      <c r="CU7">
        <f>ROUND(AT7*Source!I27*AH7*AL7,2)</f>
        <v>346.52</v>
      </c>
      <c r="CV7">
        <f>ROUND(Y7*Source!I27,7)</f>
        <v>1.0814999999999999</v>
      </c>
      <c r="CW7">
        <v>0</v>
      </c>
      <c r="CX7">
        <f>ROUND(Y7*Source!I27,7)</f>
        <v>1.0814999999999999</v>
      </c>
      <c r="CY7">
        <f>AD7</f>
        <v>320.41000000000003</v>
      </c>
      <c r="CZ7">
        <f>AH7</f>
        <v>320.41000000000003</v>
      </c>
      <c r="DA7">
        <f>AL7</f>
        <v>1</v>
      </c>
      <c r="DB7">
        <f t="shared" si="1"/>
        <v>24751.67</v>
      </c>
      <c r="DC7">
        <f t="shared" si="2"/>
        <v>0</v>
      </c>
      <c r="DD7" t="s">
        <v>3</v>
      </c>
      <c r="DE7" t="s">
        <v>3</v>
      </c>
      <c r="DF7">
        <f t="shared" ref="DF7:DF15" si="6">ROUND(ROUND(AE7,2)*CX7,2)</f>
        <v>0</v>
      </c>
      <c r="DG7">
        <f t="shared" si="5"/>
        <v>0</v>
      </c>
      <c r="DH7">
        <f t="shared" si="3"/>
        <v>0</v>
      </c>
      <c r="DI7">
        <f t="shared" si="4"/>
        <v>346.52</v>
      </c>
      <c r="DJ7">
        <f>DI7</f>
        <v>346.52</v>
      </c>
      <c r="DK7">
        <v>1</v>
      </c>
      <c r="DL7" t="s">
        <v>3</v>
      </c>
      <c r="DM7">
        <v>0</v>
      </c>
      <c r="DN7" t="s">
        <v>3</v>
      </c>
      <c r="DO7">
        <v>0</v>
      </c>
    </row>
    <row r="8" spans="1:119">
      <c r="A8">
        <f>ROW(Source!A27)</f>
        <v>27</v>
      </c>
      <c r="B8">
        <v>46261364</v>
      </c>
      <c r="C8">
        <v>46262820</v>
      </c>
      <c r="D8">
        <v>44652239</v>
      </c>
      <c r="E8">
        <v>118</v>
      </c>
      <c r="F8">
        <v>1</v>
      </c>
      <c r="G8">
        <v>1</v>
      </c>
      <c r="H8">
        <v>1</v>
      </c>
      <c r="I8" t="s">
        <v>290</v>
      </c>
      <c r="J8" t="s">
        <v>3</v>
      </c>
      <c r="K8" t="s">
        <v>291</v>
      </c>
      <c r="L8">
        <v>1369</v>
      </c>
      <c r="N8">
        <v>1013</v>
      </c>
      <c r="O8" t="s">
        <v>289</v>
      </c>
      <c r="P8" t="s">
        <v>289</v>
      </c>
      <c r="Q8">
        <v>1</v>
      </c>
      <c r="W8">
        <v>0</v>
      </c>
      <c r="X8">
        <v>-587036825</v>
      </c>
      <c r="Y8">
        <f t="shared" si="0"/>
        <v>77.25</v>
      </c>
      <c r="AA8">
        <v>0</v>
      </c>
      <c r="AB8">
        <v>0</v>
      </c>
      <c r="AC8">
        <v>0</v>
      </c>
      <c r="AD8">
        <v>349.8</v>
      </c>
      <c r="AE8">
        <v>0</v>
      </c>
      <c r="AF8">
        <v>0</v>
      </c>
      <c r="AG8">
        <v>0</v>
      </c>
      <c r="AH8">
        <v>349.8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77.25</v>
      </c>
      <c r="AU8" t="s">
        <v>3</v>
      </c>
      <c r="AV8">
        <v>1</v>
      </c>
      <c r="AW8">
        <v>2</v>
      </c>
      <c r="AX8">
        <v>46262822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27022.05</v>
      </c>
      <c r="BN8">
        <v>77.25</v>
      </c>
      <c r="BO8">
        <v>0</v>
      </c>
      <c r="BP8">
        <v>1</v>
      </c>
      <c r="BQ8">
        <v>0</v>
      </c>
      <c r="BR8">
        <v>0</v>
      </c>
      <c r="BS8">
        <v>0</v>
      </c>
      <c r="BT8">
        <v>27022.05</v>
      </c>
      <c r="BU8">
        <v>77.25</v>
      </c>
      <c r="BV8">
        <v>0</v>
      </c>
      <c r="BW8">
        <v>1</v>
      </c>
      <c r="CU8">
        <f>ROUND(AT8*Source!I27*AH8*AL8,2)</f>
        <v>378.31</v>
      </c>
      <c r="CV8">
        <f>ROUND(Y8*Source!I27,7)</f>
        <v>1.0814999999999999</v>
      </c>
      <c r="CW8">
        <v>0</v>
      </c>
      <c r="CX8">
        <f>ROUND(Y8*Source!I27,7)</f>
        <v>1.0814999999999999</v>
      </c>
      <c r="CY8">
        <f>AD8</f>
        <v>349.8</v>
      </c>
      <c r="CZ8">
        <f>AH8</f>
        <v>349.8</v>
      </c>
      <c r="DA8">
        <f>AL8</f>
        <v>1</v>
      </c>
      <c r="DB8">
        <f t="shared" si="1"/>
        <v>27022.05</v>
      </c>
      <c r="DC8">
        <f t="shared" si="2"/>
        <v>0</v>
      </c>
      <c r="DD8" t="s">
        <v>3</v>
      </c>
      <c r="DE8" t="s">
        <v>3</v>
      </c>
      <c r="DF8">
        <f t="shared" si="6"/>
        <v>0</v>
      </c>
      <c r="DG8">
        <f t="shared" si="5"/>
        <v>0</v>
      </c>
      <c r="DH8">
        <f t="shared" si="3"/>
        <v>0</v>
      </c>
      <c r="DI8">
        <f t="shared" si="4"/>
        <v>378.31</v>
      </c>
      <c r="DJ8">
        <f>DI8</f>
        <v>378.31</v>
      </c>
      <c r="DK8">
        <v>1</v>
      </c>
      <c r="DL8" t="s">
        <v>3</v>
      </c>
      <c r="DM8">
        <v>0</v>
      </c>
      <c r="DN8" t="s">
        <v>3</v>
      </c>
      <c r="DO8">
        <v>0</v>
      </c>
    </row>
    <row r="9" spans="1:119">
      <c r="A9">
        <f>ROW(Source!A27)</f>
        <v>27</v>
      </c>
      <c r="B9">
        <v>46261364</v>
      </c>
      <c r="C9">
        <v>46262820</v>
      </c>
      <c r="D9">
        <v>44652282</v>
      </c>
      <c r="E9">
        <v>118</v>
      </c>
      <c r="F9">
        <v>1</v>
      </c>
      <c r="G9">
        <v>1</v>
      </c>
      <c r="H9">
        <v>1</v>
      </c>
      <c r="I9" t="s">
        <v>274</v>
      </c>
      <c r="J9" t="s">
        <v>3</v>
      </c>
      <c r="K9" t="s">
        <v>275</v>
      </c>
      <c r="L9">
        <v>1191</v>
      </c>
      <c r="N9">
        <v>1013</v>
      </c>
      <c r="O9" t="s">
        <v>271</v>
      </c>
      <c r="P9" t="s">
        <v>271</v>
      </c>
      <c r="Q9">
        <v>1</v>
      </c>
      <c r="W9">
        <v>0</v>
      </c>
      <c r="X9">
        <v>-1417349443</v>
      </c>
      <c r="Y9">
        <f t="shared" si="0"/>
        <v>37.5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37.5</v>
      </c>
      <c r="AU9" t="s">
        <v>3</v>
      </c>
      <c r="AV9">
        <v>2</v>
      </c>
      <c r="AW9">
        <v>2</v>
      </c>
      <c r="AX9">
        <v>46262823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CV9">
        <v>0</v>
      </c>
      <c r="CW9">
        <v>0</v>
      </c>
      <c r="CX9">
        <f>ROUND(Y9*Source!I27,7)</f>
        <v>0.52500000000000002</v>
      </c>
      <c r="CY9">
        <f>AD9</f>
        <v>0</v>
      </c>
      <c r="CZ9">
        <f>AH9</f>
        <v>0</v>
      </c>
      <c r="DA9">
        <f>AL9</f>
        <v>1</v>
      </c>
      <c r="DB9">
        <f t="shared" si="1"/>
        <v>0</v>
      </c>
      <c r="DC9">
        <f t="shared" si="2"/>
        <v>0</v>
      </c>
      <c r="DD9" t="s">
        <v>3</v>
      </c>
      <c r="DE9" t="s">
        <v>3</v>
      </c>
      <c r="DF9">
        <f t="shared" si="6"/>
        <v>0</v>
      </c>
      <c r="DG9">
        <f t="shared" si="5"/>
        <v>0</v>
      </c>
      <c r="DH9">
        <f t="shared" si="3"/>
        <v>0</v>
      </c>
      <c r="DI9">
        <f t="shared" si="4"/>
        <v>0</v>
      </c>
      <c r="DJ9">
        <f>DI9</f>
        <v>0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>
      <c r="A10">
        <f>ROW(Source!A27)</f>
        <v>27</v>
      </c>
      <c r="B10">
        <v>46261364</v>
      </c>
      <c r="C10">
        <v>46262820</v>
      </c>
      <c r="D10">
        <v>44779851</v>
      </c>
      <c r="E10">
        <v>1</v>
      </c>
      <c r="F10">
        <v>1</v>
      </c>
      <c r="G10">
        <v>1</v>
      </c>
      <c r="H10">
        <v>2</v>
      </c>
      <c r="I10" t="s">
        <v>292</v>
      </c>
      <c r="J10" t="s">
        <v>293</v>
      </c>
      <c r="K10" t="s">
        <v>294</v>
      </c>
      <c r="L10">
        <v>1368</v>
      </c>
      <c r="N10">
        <v>1011</v>
      </c>
      <c r="O10" t="s">
        <v>279</v>
      </c>
      <c r="P10" t="s">
        <v>279</v>
      </c>
      <c r="Q10">
        <v>1</v>
      </c>
      <c r="W10">
        <v>0</v>
      </c>
      <c r="X10">
        <v>1818041354</v>
      </c>
      <c r="Y10">
        <f t="shared" si="0"/>
        <v>37.5</v>
      </c>
      <c r="AA10">
        <v>0</v>
      </c>
      <c r="AB10">
        <v>404.41</v>
      </c>
      <c r="AC10">
        <v>393.89</v>
      </c>
      <c r="AD10">
        <v>0</v>
      </c>
      <c r="AE10">
        <v>0</v>
      </c>
      <c r="AF10">
        <v>404.41</v>
      </c>
      <c r="AG10">
        <v>393.89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3</v>
      </c>
      <c r="AT10">
        <v>37.5</v>
      </c>
      <c r="AU10" t="s">
        <v>3</v>
      </c>
      <c r="AV10">
        <v>1</v>
      </c>
      <c r="AW10">
        <v>2</v>
      </c>
      <c r="AX10">
        <v>46262824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15165.375000000002</v>
      </c>
      <c r="BL10">
        <v>14770.875</v>
      </c>
      <c r="BM10">
        <v>0</v>
      </c>
      <c r="BN10">
        <v>0</v>
      </c>
      <c r="BO10">
        <v>37.5</v>
      </c>
      <c r="BP10">
        <v>1</v>
      </c>
      <c r="BQ10">
        <v>0</v>
      </c>
      <c r="BR10">
        <v>15165.375000000002</v>
      </c>
      <c r="BS10">
        <v>14770.875</v>
      </c>
      <c r="BT10">
        <v>0</v>
      </c>
      <c r="BU10">
        <v>0</v>
      </c>
      <c r="BV10">
        <v>37.5</v>
      </c>
      <c r="BW10">
        <v>1</v>
      </c>
      <c r="CV10">
        <v>0</v>
      </c>
      <c r="CW10">
        <f>ROUND(Y10*Source!I27*DO10,7)</f>
        <v>0.52500000000000002</v>
      </c>
      <c r="CX10">
        <f>ROUND(Y10*Source!I27,7)</f>
        <v>0.52500000000000002</v>
      </c>
      <c r="CY10">
        <f>AB10</f>
        <v>404.41</v>
      </c>
      <c r="CZ10">
        <f>AF10</f>
        <v>404.41</v>
      </c>
      <c r="DA10">
        <f>AJ10</f>
        <v>1</v>
      </c>
      <c r="DB10">
        <f t="shared" si="1"/>
        <v>15165.38</v>
      </c>
      <c r="DC10">
        <f t="shared" si="2"/>
        <v>14770.88</v>
      </c>
      <c r="DD10" t="s">
        <v>3</v>
      </c>
      <c r="DE10" t="s">
        <v>3</v>
      </c>
      <c r="DF10">
        <f t="shared" si="6"/>
        <v>0</v>
      </c>
      <c r="DG10">
        <f t="shared" si="5"/>
        <v>212.32</v>
      </c>
      <c r="DH10">
        <f t="shared" si="3"/>
        <v>206.79</v>
      </c>
      <c r="DI10">
        <f t="shared" si="4"/>
        <v>0</v>
      </c>
      <c r="DJ10">
        <f>DG10+DH10</f>
        <v>419.11</v>
      </c>
      <c r="DK10">
        <v>1</v>
      </c>
      <c r="DL10" t="s">
        <v>295</v>
      </c>
      <c r="DM10">
        <v>4</v>
      </c>
      <c r="DN10" t="s">
        <v>271</v>
      </c>
      <c r="DO10">
        <v>1</v>
      </c>
    </row>
    <row r="11" spans="1:119">
      <c r="A11">
        <f>ROW(Source!A27)</f>
        <v>27</v>
      </c>
      <c r="B11">
        <v>46261364</v>
      </c>
      <c r="C11">
        <v>46262820</v>
      </c>
      <c r="D11">
        <v>44780255</v>
      </c>
      <c r="E11">
        <v>1</v>
      </c>
      <c r="F11">
        <v>1</v>
      </c>
      <c r="G11">
        <v>1</v>
      </c>
      <c r="H11">
        <v>2</v>
      </c>
      <c r="I11" t="s">
        <v>296</v>
      </c>
      <c r="J11" t="s">
        <v>297</v>
      </c>
      <c r="K11" t="s">
        <v>298</v>
      </c>
      <c r="L11">
        <v>1368</v>
      </c>
      <c r="N11">
        <v>1011</v>
      </c>
      <c r="O11" t="s">
        <v>279</v>
      </c>
      <c r="P11" t="s">
        <v>279</v>
      </c>
      <c r="Q11">
        <v>1</v>
      </c>
      <c r="W11">
        <v>0</v>
      </c>
      <c r="X11">
        <v>726085555</v>
      </c>
      <c r="Y11">
        <f t="shared" si="0"/>
        <v>75</v>
      </c>
      <c r="AA11">
        <v>0</v>
      </c>
      <c r="AB11">
        <v>3.19</v>
      </c>
      <c r="AC11">
        <v>0</v>
      </c>
      <c r="AD11">
        <v>0</v>
      </c>
      <c r="AE11">
        <v>0</v>
      </c>
      <c r="AF11">
        <v>2.11</v>
      </c>
      <c r="AG11">
        <v>0</v>
      </c>
      <c r="AH11">
        <v>0</v>
      </c>
      <c r="AI11">
        <v>1</v>
      </c>
      <c r="AJ11">
        <v>1.51</v>
      </c>
      <c r="AK11">
        <v>1</v>
      </c>
      <c r="AL11">
        <v>1</v>
      </c>
      <c r="AM11">
        <v>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75</v>
      </c>
      <c r="AU11" t="s">
        <v>3</v>
      </c>
      <c r="AV11">
        <v>1</v>
      </c>
      <c r="AW11">
        <v>2</v>
      </c>
      <c r="AX11">
        <v>46262825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158.25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0</v>
      </c>
      <c r="BR11">
        <v>158.25</v>
      </c>
      <c r="BS11">
        <v>0</v>
      </c>
      <c r="BT11">
        <v>0</v>
      </c>
      <c r="BU11">
        <v>0</v>
      </c>
      <c r="BV11">
        <v>0</v>
      </c>
      <c r="BW11">
        <v>1</v>
      </c>
      <c r="CV11">
        <v>0</v>
      </c>
      <c r="CW11">
        <f>ROUND(Y11*Source!I27*DO11,7)</f>
        <v>0</v>
      </c>
      <c r="CX11">
        <f>ROUND(Y11*Source!I27,7)</f>
        <v>1.05</v>
      </c>
      <c r="CY11">
        <f>AB11</f>
        <v>3.19</v>
      </c>
      <c r="CZ11">
        <f>AF11</f>
        <v>2.11</v>
      </c>
      <c r="DA11">
        <f>AJ11</f>
        <v>1.51</v>
      </c>
      <c r="DB11">
        <f t="shared" si="1"/>
        <v>158.25</v>
      </c>
      <c r="DC11">
        <f t="shared" si="2"/>
        <v>0</v>
      </c>
      <c r="DD11" t="s">
        <v>3</v>
      </c>
      <c r="DE11" t="s">
        <v>3</v>
      </c>
      <c r="DF11">
        <f t="shared" si="6"/>
        <v>0</v>
      </c>
      <c r="DG11">
        <f>ROUND(ROUND(AF11*AJ11,2)*CX11,2)</f>
        <v>3.35</v>
      </c>
      <c r="DH11">
        <f t="shared" si="3"/>
        <v>0</v>
      </c>
      <c r="DI11">
        <f t="shared" si="4"/>
        <v>0</v>
      </c>
      <c r="DJ11">
        <f>DG11+DH11</f>
        <v>3.35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>
      <c r="A12">
        <f>ROW(Source!A28)</f>
        <v>28</v>
      </c>
      <c r="B12">
        <v>46261364</v>
      </c>
      <c r="C12">
        <v>46261161</v>
      </c>
      <c r="D12">
        <v>39474919</v>
      </c>
      <c r="E12">
        <v>116</v>
      </c>
      <c r="F12">
        <v>1</v>
      </c>
      <c r="G12">
        <v>1</v>
      </c>
      <c r="H12">
        <v>1</v>
      </c>
      <c r="I12" t="s">
        <v>272</v>
      </c>
      <c r="J12" t="s">
        <v>3</v>
      </c>
      <c r="K12" t="s">
        <v>273</v>
      </c>
      <c r="L12">
        <v>1191</v>
      </c>
      <c r="N12">
        <v>1013</v>
      </c>
      <c r="O12" t="s">
        <v>271</v>
      </c>
      <c r="P12" t="s">
        <v>271</v>
      </c>
      <c r="Q12">
        <v>1</v>
      </c>
      <c r="W12">
        <v>0</v>
      </c>
      <c r="X12">
        <v>370475345</v>
      </c>
      <c r="Y12">
        <f t="shared" si="0"/>
        <v>248</v>
      </c>
      <c r="AA12">
        <v>0</v>
      </c>
      <c r="AB12">
        <v>0</v>
      </c>
      <c r="AC12">
        <v>0</v>
      </c>
      <c r="AD12">
        <v>320.41000000000003</v>
      </c>
      <c r="AE12">
        <v>0</v>
      </c>
      <c r="AF12">
        <v>0</v>
      </c>
      <c r="AG12">
        <v>0</v>
      </c>
      <c r="AH12">
        <v>320.41000000000003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248</v>
      </c>
      <c r="AU12" t="s">
        <v>3</v>
      </c>
      <c r="AV12">
        <v>1</v>
      </c>
      <c r="AW12">
        <v>2</v>
      </c>
      <c r="AX12">
        <v>46261163</v>
      </c>
      <c r="AY12">
        <v>2</v>
      </c>
      <c r="AZ12">
        <v>131072</v>
      </c>
      <c r="BA12">
        <v>13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79461.680000000008</v>
      </c>
      <c r="BN12">
        <v>248</v>
      </c>
      <c r="BO12">
        <v>0</v>
      </c>
      <c r="BP12">
        <v>1</v>
      </c>
      <c r="BQ12">
        <v>0</v>
      </c>
      <c r="BR12">
        <v>0</v>
      </c>
      <c r="BS12">
        <v>0</v>
      </c>
      <c r="BT12">
        <v>79461.680000000008</v>
      </c>
      <c r="BU12">
        <v>248</v>
      </c>
      <c r="BV12">
        <v>0</v>
      </c>
      <c r="BW12">
        <v>1</v>
      </c>
      <c r="CU12">
        <f>ROUND(AT12*Source!I28*AH12*AL12,2)</f>
        <v>7946.17</v>
      </c>
      <c r="CV12">
        <f>ROUND(Y12*Source!I28,7)</f>
        <v>24.8</v>
      </c>
      <c r="CW12">
        <v>0</v>
      </c>
      <c r="CX12">
        <f>ROUND(Y12*Source!I28,7)</f>
        <v>24.8</v>
      </c>
      <c r="CY12">
        <f>AD12</f>
        <v>320.41000000000003</v>
      </c>
      <c r="CZ12">
        <f>AH12</f>
        <v>320.41000000000003</v>
      </c>
      <c r="DA12">
        <f>AL12</f>
        <v>1</v>
      </c>
      <c r="DB12">
        <f t="shared" si="1"/>
        <v>79461.679999999993</v>
      </c>
      <c r="DC12">
        <f t="shared" si="2"/>
        <v>0</v>
      </c>
      <c r="DD12" t="s">
        <v>3</v>
      </c>
      <c r="DE12" t="s">
        <v>3</v>
      </c>
      <c r="DF12">
        <f t="shared" si="6"/>
        <v>0</v>
      </c>
      <c r="DG12">
        <f>ROUND(ROUND(AF12,2)*CX12,2)</f>
        <v>0</v>
      </c>
      <c r="DH12">
        <f t="shared" si="3"/>
        <v>0</v>
      </c>
      <c r="DI12">
        <f t="shared" si="4"/>
        <v>7946.17</v>
      </c>
      <c r="DJ12">
        <f>DI12</f>
        <v>7946.17</v>
      </c>
      <c r="DK12">
        <v>1</v>
      </c>
      <c r="DL12" t="s">
        <v>3</v>
      </c>
      <c r="DM12">
        <v>0</v>
      </c>
      <c r="DN12" t="s">
        <v>3</v>
      </c>
      <c r="DO12">
        <v>0</v>
      </c>
    </row>
    <row r="13" spans="1:119">
      <c r="A13">
        <f>ROW(Source!A29)</f>
        <v>29</v>
      </c>
      <c r="B13">
        <v>46261364</v>
      </c>
      <c r="C13">
        <v>46262993</v>
      </c>
      <c r="D13">
        <v>44652105</v>
      </c>
      <c r="E13">
        <v>118</v>
      </c>
      <c r="F13">
        <v>1</v>
      </c>
      <c r="G13">
        <v>1</v>
      </c>
      <c r="H13">
        <v>1</v>
      </c>
      <c r="I13" t="s">
        <v>299</v>
      </c>
      <c r="J13" t="s">
        <v>3</v>
      </c>
      <c r="K13" t="s">
        <v>300</v>
      </c>
      <c r="L13">
        <v>1191</v>
      </c>
      <c r="N13">
        <v>1013</v>
      </c>
      <c r="O13" t="s">
        <v>271</v>
      </c>
      <c r="P13" t="s">
        <v>271</v>
      </c>
      <c r="Q13">
        <v>1</v>
      </c>
      <c r="W13">
        <v>0</v>
      </c>
      <c r="X13">
        <v>888410196</v>
      </c>
      <c r="Y13">
        <f>(AT13*ROUND(1.15,7))</f>
        <v>70.265000000000001</v>
      </c>
      <c r="AA13">
        <v>0</v>
      </c>
      <c r="AB13">
        <v>0</v>
      </c>
      <c r="AC13">
        <v>0</v>
      </c>
      <c r="AD13">
        <v>393.89</v>
      </c>
      <c r="AE13">
        <v>0</v>
      </c>
      <c r="AF13">
        <v>0</v>
      </c>
      <c r="AG13">
        <v>0</v>
      </c>
      <c r="AH13">
        <v>393.89</v>
      </c>
      <c r="AI13">
        <v>1</v>
      </c>
      <c r="AJ13">
        <v>1</v>
      </c>
      <c r="AK13">
        <v>1</v>
      </c>
      <c r="AL13">
        <v>1</v>
      </c>
      <c r="AM13">
        <v>-2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3</v>
      </c>
      <c r="AT13">
        <v>61.1</v>
      </c>
      <c r="AU13" t="s">
        <v>65</v>
      </c>
      <c r="AV13">
        <v>1</v>
      </c>
      <c r="AW13">
        <v>2</v>
      </c>
      <c r="AX13">
        <v>46262994</v>
      </c>
      <c r="AY13">
        <v>1</v>
      </c>
      <c r="AZ13">
        <v>0</v>
      </c>
      <c r="BA13">
        <v>14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24066.679</v>
      </c>
      <c r="BN13">
        <v>61.1</v>
      </c>
      <c r="BO13">
        <v>0</v>
      </c>
      <c r="BP13">
        <v>1</v>
      </c>
      <c r="BQ13">
        <v>0</v>
      </c>
      <c r="BR13">
        <v>0</v>
      </c>
      <c r="BS13">
        <v>0</v>
      </c>
      <c r="BT13">
        <v>27676.680850000001</v>
      </c>
      <c r="BU13">
        <v>70.265000000000001</v>
      </c>
      <c r="BV13">
        <v>0</v>
      </c>
      <c r="BW13">
        <v>1</v>
      </c>
      <c r="CU13">
        <f>ROUND(AT13*Source!I29*AH13*AL13,2)</f>
        <v>12033.34</v>
      </c>
      <c r="CV13">
        <f>ROUND(Y13*Source!I29,7)</f>
        <v>35.1325</v>
      </c>
      <c r="CW13">
        <v>0</v>
      </c>
      <c r="CX13">
        <f>ROUND(Y13*Source!I29,7)</f>
        <v>35.1325</v>
      </c>
      <c r="CY13">
        <f>AD13</f>
        <v>393.89</v>
      </c>
      <c r="CZ13">
        <f>AH13</f>
        <v>393.89</v>
      </c>
      <c r="DA13">
        <f>AL13</f>
        <v>1</v>
      </c>
      <c r="DB13">
        <f>ROUND((ROUND(AT13*CZ13,2)*ROUND(1.15,7)),6)</f>
        <v>27676.682000000001</v>
      </c>
      <c r="DC13">
        <f>ROUND((ROUND(AT13*AG13,2)*ROUND(1.15,7)),6)</f>
        <v>0</v>
      </c>
      <c r="DD13" t="s">
        <v>3</v>
      </c>
      <c r="DE13" t="s">
        <v>3</v>
      </c>
      <c r="DF13">
        <f t="shared" si="6"/>
        <v>0</v>
      </c>
      <c r="DG13">
        <f>ROUND(ROUND(AF13,2)*CX13,2)</f>
        <v>0</v>
      </c>
      <c r="DH13">
        <f t="shared" si="3"/>
        <v>0</v>
      </c>
      <c r="DI13">
        <f t="shared" si="4"/>
        <v>13838.34</v>
      </c>
      <c r="DJ13">
        <f>DI13</f>
        <v>13838.34</v>
      </c>
      <c r="DK13">
        <v>1</v>
      </c>
      <c r="DL13" t="s">
        <v>3</v>
      </c>
      <c r="DM13">
        <v>0</v>
      </c>
      <c r="DN13" t="s">
        <v>3</v>
      </c>
      <c r="DO13">
        <v>0</v>
      </c>
    </row>
    <row r="14" spans="1:119">
      <c r="A14">
        <f>ROW(Source!A29)</f>
        <v>29</v>
      </c>
      <c r="B14">
        <v>46261364</v>
      </c>
      <c r="C14">
        <v>46262993</v>
      </c>
      <c r="D14">
        <v>44778880</v>
      </c>
      <c r="E14">
        <v>1</v>
      </c>
      <c r="F14">
        <v>1</v>
      </c>
      <c r="G14">
        <v>1</v>
      </c>
      <c r="H14">
        <v>2</v>
      </c>
      <c r="I14" t="s">
        <v>301</v>
      </c>
      <c r="J14" t="s">
        <v>302</v>
      </c>
      <c r="K14" t="s">
        <v>303</v>
      </c>
      <c r="L14">
        <v>1368</v>
      </c>
      <c r="N14">
        <v>1011</v>
      </c>
      <c r="O14" t="s">
        <v>279</v>
      </c>
      <c r="P14" t="s">
        <v>279</v>
      </c>
      <c r="Q14">
        <v>1</v>
      </c>
      <c r="W14">
        <v>0</v>
      </c>
      <c r="X14">
        <v>805750914</v>
      </c>
      <c r="Y14">
        <f>(AT14*ROUND(1.25,7))</f>
        <v>1.125</v>
      </c>
      <c r="AA14">
        <v>0</v>
      </c>
      <c r="AB14">
        <v>14.14</v>
      </c>
      <c r="AC14">
        <v>0</v>
      </c>
      <c r="AD14">
        <v>0</v>
      </c>
      <c r="AE14">
        <v>0</v>
      </c>
      <c r="AF14">
        <v>8.84</v>
      </c>
      <c r="AG14">
        <v>0</v>
      </c>
      <c r="AH14">
        <v>0</v>
      </c>
      <c r="AI14">
        <v>1</v>
      </c>
      <c r="AJ14">
        <v>1.6</v>
      </c>
      <c r="AK14">
        <v>1</v>
      </c>
      <c r="AL14">
        <v>1</v>
      </c>
      <c r="AM14">
        <v>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0.9</v>
      </c>
      <c r="AU14" t="s">
        <v>64</v>
      </c>
      <c r="AV14">
        <v>1</v>
      </c>
      <c r="AW14">
        <v>2</v>
      </c>
      <c r="AX14">
        <v>46262995</v>
      </c>
      <c r="AY14">
        <v>1</v>
      </c>
      <c r="AZ14">
        <v>0</v>
      </c>
      <c r="BA14">
        <v>15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7.9560000000000004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0</v>
      </c>
      <c r="BR14">
        <v>9.9450000000000003</v>
      </c>
      <c r="BS14">
        <v>0</v>
      </c>
      <c r="BT14">
        <v>0</v>
      </c>
      <c r="BU14">
        <v>0</v>
      </c>
      <c r="BV14">
        <v>0</v>
      </c>
      <c r="BW14">
        <v>1</v>
      </c>
      <c r="CV14">
        <v>0</v>
      </c>
      <c r="CW14">
        <f>ROUND(Y14*Source!I29*DO14,7)</f>
        <v>0</v>
      </c>
      <c r="CX14">
        <f>ROUND(Y14*Source!I29,7)</f>
        <v>0.5625</v>
      </c>
      <c r="CY14">
        <f>AB14</f>
        <v>14.14</v>
      </c>
      <c r="CZ14">
        <f>AF14</f>
        <v>8.84</v>
      </c>
      <c r="DA14">
        <f>AJ14</f>
        <v>1.6</v>
      </c>
      <c r="DB14">
        <f>ROUND((ROUND(AT14*CZ14,2)*ROUND(1.25,7)),6)</f>
        <v>9.9499999999999993</v>
      </c>
      <c r="DC14">
        <f>ROUND((ROUND(AT14*AG14,2)*ROUND(1.25,7)),6)</f>
        <v>0</v>
      </c>
      <c r="DD14" t="s">
        <v>3</v>
      </c>
      <c r="DE14" t="s">
        <v>3</v>
      </c>
      <c r="DF14">
        <f t="shared" si="6"/>
        <v>0</v>
      </c>
      <c r="DG14">
        <f>ROUND(ROUND(AF14*AJ14,2)*CX14,2)</f>
        <v>7.95</v>
      </c>
      <c r="DH14">
        <f t="shared" si="3"/>
        <v>0</v>
      </c>
      <c r="DI14">
        <f t="shared" si="4"/>
        <v>0</v>
      </c>
      <c r="DJ14">
        <f>DG14+DH14</f>
        <v>7.95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>
      <c r="A15">
        <f>ROW(Source!A29)</f>
        <v>29</v>
      </c>
      <c r="B15">
        <v>46261364</v>
      </c>
      <c r="C15">
        <v>46262993</v>
      </c>
      <c r="D15">
        <v>44779022</v>
      </c>
      <c r="E15">
        <v>1</v>
      </c>
      <c r="F15">
        <v>1</v>
      </c>
      <c r="G15">
        <v>1</v>
      </c>
      <c r="H15">
        <v>2</v>
      </c>
      <c r="I15" t="s">
        <v>304</v>
      </c>
      <c r="J15" t="s">
        <v>305</v>
      </c>
      <c r="K15" t="s">
        <v>306</v>
      </c>
      <c r="L15">
        <v>1368</v>
      </c>
      <c r="N15">
        <v>1011</v>
      </c>
      <c r="O15" t="s">
        <v>279</v>
      </c>
      <c r="P15" t="s">
        <v>279</v>
      </c>
      <c r="Q15">
        <v>1</v>
      </c>
      <c r="W15">
        <v>0</v>
      </c>
      <c r="X15">
        <v>-1133879444</v>
      </c>
      <c r="Y15">
        <f>(AT15*ROUND(1.25,7))</f>
        <v>3</v>
      </c>
      <c r="AA15">
        <v>0</v>
      </c>
      <c r="AB15">
        <v>25.3</v>
      </c>
      <c r="AC15">
        <v>0</v>
      </c>
      <c r="AD15">
        <v>0</v>
      </c>
      <c r="AE15">
        <v>0</v>
      </c>
      <c r="AF15">
        <v>25.3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-2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2.4</v>
      </c>
      <c r="AU15" t="s">
        <v>64</v>
      </c>
      <c r="AV15">
        <v>1</v>
      </c>
      <c r="AW15">
        <v>2</v>
      </c>
      <c r="AX15">
        <v>46262996</v>
      </c>
      <c r="AY15">
        <v>1</v>
      </c>
      <c r="AZ15">
        <v>0</v>
      </c>
      <c r="BA15">
        <v>16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60.72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0</v>
      </c>
      <c r="BR15">
        <v>75.900000000000006</v>
      </c>
      <c r="BS15">
        <v>0</v>
      </c>
      <c r="BT15">
        <v>0</v>
      </c>
      <c r="BU15">
        <v>0</v>
      </c>
      <c r="BV15">
        <v>0</v>
      </c>
      <c r="BW15">
        <v>1</v>
      </c>
      <c r="CV15">
        <v>0</v>
      </c>
      <c r="CW15">
        <f>ROUND(Y15*Source!I29*DO15,7)</f>
        <v>0</v>
      </c>
      <c r="CX15">
        <f>ROUND(Y15*Source!I29,7)</f>
        <v>1.5</v>
      </c>
      <c r="CY15">
        <f>AB15</f>
        <v>25.3</v>
      </c>
      <c r="CZ15">
        <f>AF15</f>
        <v>25.3</v>
      </c>
      <c r="DA15">
        <f>AJ15</f>
        <v>1</v>
      </c>
      <c r="DB15">
        <f>ROUND((ROUND(AT15*CZ15,2)*ROUND(1.25,7)),6)</f>
        <v>75.900000000000006</v>
      </c>
      <c r="DC15">
        <f>ROUND((ROUND(AT15*AG15,2)*ROUND(1.25,7)),6)</f>
        <v>0</v>
      </c>
      <c r="DD15" t="s">
        <v>3</v>
      </c>
      <c r="DE15" t="s">
        <v>3</v>
      </c>
      <c r="DF15">
        <f t="shared" si="6"/>
        <v>0</v>
      </c>
      <c r="DG15">
        <f>ROUND(ROUND(AF15,2)*CX15,2)</f>
        <v>37.950000000000003</v>
      </c>
      <c r="DH15">
        <f t="shared" si="3"/>
        <v>0</v>
      </c>
      <c r="DI15">
        <f t="shared" si="4"/>
        <v>0</v>
      </c>
      <c r="DJ15">
        <f>DG15+DH15</f>
        <v>37.950000000000003</v>
      </c>
      <c r="DK15">
        <v>1</v>
      </c>
      <c r="DL15" t="s">
        <v>3</v>
      </c>
      <c r="DM15">
        <v>0</v>
      </c>
      <c r="DN15" t="s">
        <v>3</v>
      </c>
      <c r="DO15">
        <v>0</v>
      </c>
    </row>
    <row r="16" spans="1:119">
      <c r="A16">
        <f>ROW(Source!A29)</f>
        <v>29</v>
      </c>
      <c r="B16">
        <v>46261364</v>
      </c>
      <c r="C16">
        <v>46262993</v>
      </c>
      <c r="D16">
        <v>44728845</v>
      </c>
      <c r="E16">
        <v>1</v>
      </c>
      <c r="F16">
        <v>1</v>
      </c>
      <c r="G16">
        <v>1</v>
      </c>
      <c r="H16">
        <v>3</v>
      </c>
      <c r="I16" t="s">
        <v>307</v>
      </c>
      <c r="J16" t="s">
        <v>308</v>
      </c>
      <c r="K16" t="s">
        <v>309</v>
      </c>
      <c r="L16">
        <v>1339</v>
      </c>
      <c r="N16">
        <v>1007</v>
      </c>
      <c r="O16" t="s">
        <v>75</v>
      </c>
      <c r="P16" t="s">
        <v>75</v>
      </c>
      <c r="Q16">
        <v>1</v>
      </c>
      <c r="W16">
        <v>0</v>
      </c>
      <c r="X16">
        <v>727623859</v>
      </c>
      <c r="Y16">
        <f>AT16</f>
        <v>0.35</v>
      </c>
      <c r="AA16">
        <v>31.42</v>
      </c>
      <c r="AB16">
        <v>0</v>
      </c>
      <c r="AC16">
        <v>0</v>
      </c>
      <c r="AD16">
        <v>0</v>
      </c>
      <c r="AE16">
        <v>35.71</v>
      </c>
      <c r="AF16">
        <v>0</v>
      </c>
      <c r="AG16">
        <v>0</v>
      </c>
      <c r="AH16">
        <v>0</v>
      </c>
      <c r="AI16">
        <v>0.88</v>
      </c>
      <c r="AJ16">
        <v>1</v>
      </c>
      <c r="AK16">
        <v>1</v>
      </c>
      <c r="AL16">
        <v>1</v>
      </c>
      <c r="AM16">
        <v>2</v>
      </c>
      <c r="AN16">
        <v>0</v>
      </c>
      <c r="AO16">
        <v>0</v>
      </c>
      <c r="AP16">
        <v>0</v>
      </c>
      <c r="AQ16">
        <v>1</v>
      </c>
      <c r="AR16">
        <v>0</v>
      </c>
      <c r="AS16" t="s">
        <v>3</v>
      </c>
      <c r="AT16">
        <v>0.35</v>
      </c>
      <c r="AU16" t="s">
        <v>3</v>
      </c>
      <c r="AV16">
        <v>0</v>
      </c>
      <c r="AW16">
        <v>2</v>
      </c>
      <c r="AX16">
        <v>46262997</v>
      </c>
      <c r="AY16">
        <v>1</v>
      </c>
      <c r="AZ16">
        <v>0</v>
      </c>
      <c r="BA16">
        <v>17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12.4985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12.4985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1</v>
      </c>
      <c r="CV16">
        <v>0</v>
      </c>
      <c r="CW16">
        <v>0</v>
      </c>
      <c r="CX16">
        <f>ROUND(Y16*Source!I29,7)</f>
        <v>0.17499999999999999</v>
      </c>
      <c r="CY16">
        <f>AA16</f>
        <v>31.42</v>
      </c>
      <c r="CZ16">
        <f>AE16</f>
        <v>35.71</v>
      </c>
      <c r="DA16">
        <f>AI16</f>
        <v>0.88</v>
      </c>
      <c r="DB16">
        <f>ROUND(ROUND(AT16*CZ16,2),6)</f>
        <v>12.5</v>
      </c>
      <c r="DC16">
        <f>ROUND(ROUND(AT16*AG16,2),6)</f>
        <v>0</v>
      </c>
      <c r="DD16" t="s">
        <v>3</v>
      </c>
      <c r="DE16" t="s">
        <v>3</v>
      </c>
      <c r="DF16">
        <f>ROUND(ROUND(AE16*AI16,2)*CX16,2)</f>
        <v>5.5</v>
      </c>
      <c r="DG16">
        <f>ROUND(ROUND(AF16,2)*CX16,2)</f>
        <v>0</v>
      </c>
      <c r="DH16">
        <f t="shared" si="3"/>
        <v>0</v>
      </c>
      <c r="DI16">
        <f t="shared" si="4"/>
        <v>0</v>
      </c>
      <c r="DJ16">
        <f>DF16</f>
        <v>5.5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>
      <c r="A17">
        <f>ROW(Source!A29)</f>
        <v>29</v>
      </c>
      <c r="B17">
        <v>46261364</v>
      </c>
      <c r="C17">
        <v>46262993</v>
      </c>
      <c r="D17">
        <v>44732803</v>
      </c>
      <c r="E17">
        <v>1</v>
      </c>
      <c r="F17">
        <v>1</v>
      </c>
      <c r="G17">
        <v>1</v>
      </c>
      <c r="H17">
        <v>3</v>
      </c>
      <c r="I17" t="s">
        <v>73</v>
      </c>
      <c r="J17" t="s">
        <v>76</v>
      </c>
      <c r="K17" t="s">
        <v>74</v>
      </c>
      <c r="L17">
        <v>1339</v>
      </c>
      <c r="N17">
        <v>1007</v>
      </c>
      <c r="O17" t="s">
        <v>75</v>
      </c>
      <c r="P17" t="s">
        <v>75</v>
      </c>
      <c r="Q17">
        <v>1</v>
      </c>
      <c r="W17">
        <v>0</v>
      </c>
      <c r="X17">
        <v>920094744</v>
      </c>
      <c r="Y17">
        <f>AT17</f>
        <v>1.89</v>
      </c>
      <c r="AA17">
        <v>6115.78</v>
      </c>
      <c r="AB17">
        <v>0</v>
      </c>
      <c r="AC17">
        <v>0</v>
      </c>
      <c r="AD17">
        <v>0</v>
      </c>
      <c r="AE17">
        <v>6115.78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t="s">
        <v>3</v>
      </c>
      <c r="AT17">
        <v>1.89</v>
      </c>
      <c r="AU17" t="s">
        <v>3</v>
      </c>
      <c r="AV17">
        <v>0</v>
      </c>
      <c r="AW17">
        <v>1</v>
      </c>
      <c r="AX17">
        <v>-1</v>
      </c>
      <c r="AY17">
        <v>0</v>
      </c>
      <c r="AZ17">
        <v>0</v>
      </c>
      <c r="BA17" t="s">
        <v>3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V17">
        <v>0</v>
      </c>
      <c r="CW17">
        <v>0</v>
      </c>
      <c r="CX17">
        <f>ROUND(Y17*Source!I29,7)</f>
        <v>0.94499999999999995</v>
      </c>
      <c r="CY17">
        <f>AA17</f>
        <v>6115.78</v>
      </c>
      <c r="CZ17">
        <f>AE17</f>
        <v>6115.78</v>
      </c>
      <c r="DA17">
        <f>AI17</f>
        <v>1</v>
      </c>
      <c r="DB17">
        <f>ROUND(ROUND(AT17*CZ17,2),6)</f>
        <v>11558.82</v>
      </c>
      <c r="DC17">
        <f>ROUND(ROUND(AT17*AG17,2),6)</f>
        <v>0</v>
      </c>
      <c r="DD17" t="s">
        <v>3</v>
      </c>
      <c r="DE17" t="s">
        <v>3</v>
      </c>
      <c r="DF17">
        <f>ROUND(ROUND(AE17,2)*CX17,2)</f>
        <v>5779.41</v>
      </c>
      <c r="DG17">
        <f>ROUND(ROUND(AF17,2)*CX17,2)</f>
        <v>0</v>
      </c>
      <c r="DH17">
        <f t="shared" si="3"/>
        <v>0</v>
      </c>
      <c r="DI17">
        <f t="shared" si="4"/>
        <v>0</v>
      </c>
      <c r="DJ17">
        <f>DF17</f>
        <v>5779.41</v>
      </c>
      <c r="DK17">
        <v>1</v>
      </c>
      <c r="DL17" t="s">
        <v>3</v>
      </c>
      <c r="DM17">
        <v>0</v>
      </c>
      <c r="DN17" t="s">
        <v>3</v>
      </c>
      <c r="DO17">
        <v>0</v>
      </c>
    </row>
    <row r="18" spans="1:119">
      <c r="A18">
        <f>ROW(Source!A31)</f>
        <v>31</v>
      </c>
      <c r="B18">
        <v>46261364</v>
      </c>
      <c r="C18">
        <v>46261164</v>
      </c>
      <c r="D18">
        <v>39474981</v>
      </c>
      <c r="E18">
        <v>116</v>
      </c>
      <c r="F18">
        <v>1</v>
      </c>
      <c r="G18">
        <v>1</v>
      </c>
      <c r="H18">
        <v>1</v>
      </c>
      <c r="I18" t="s">
        <v>310</v>
      </c>
      <c r="J18" t="s">
        <v>3</v>
      </c>
      <c r="K18" t="s">
        <v>311</v>
      </c>
      <c r="L18">
        <v>1191</v>
      </c>
      <c r="N18">
        <v>1013</v>
      </c>
      <c r="O18" t="s">
        <v>271</v>
      </c>
      <c r="P18" t="s">
        <v>271</v>
      </c>
      <c r="Q18">
        <v>1</v>
      </c>
      <c r="W18">
        <v>0</v>
      </c>
      <c r="X18">
        <v>-1088579471</v>
      </c>
      <c r="Y18">
        <f>(AT18*ROUND(((0.15+1)*1.15),7))</f>
        <v>28.036999999999999</v>
      </c>
      <c r="AA18">
        <v>0</v>
      </c>
      <c r="AB18">
        <v>0</v>
      </c>
      <c r="AC18">
        <v>0</v>
      </c>
      <c r="AD18">
        <v>389.48</v>
      </c>
      <c r="AE18">
        <v>0</v>
      </c>
      <c r="AF18">
        <v>0</v>
      </c>
      <c r="AG18">
        <v>0</v>
      </c>
      <c r="AH18">
        <v>389.48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21.2</v>
      </c>
      <c r="AU18" t="s">
        <v>82</v>
      </c>
      <c r="AV18">
        <v>1</v>
      </c>
      <c r="AW18">
        <v>2</v>
      </c>
      <c r="AX18">
        <v>46261173</v>
      </c>
      <c r="AY18">
        <v>2</v>
      </c>
      <c r="AZ18">
        <v>131072</v>
      </c>
      <c r="BA18">
        <v>19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8256.9760000000006</v>
      </c>
      <c r="BN18">
        <v>21.2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10919.850759999999</v>
      </c>
      <c r="BU18">
        <v>28.036999999999995</v>
      </c>
      <c r="BV18">
        <v>0</v>
      </c>
      <c r="BW18">
        <v>1</v>
      </c>
      <c r="CU18">
        <f>ROUND(AT18*Source!I31*AH18*AL18,2)</f>
        <v>2064.2399999999998</v>
      </c>
      <c r="CV18">
        <f>ROUND(Y18*Source!I31,7)</f>
        <v>7.0092499999999998</v>
      </c>
      <c r="CW18">
        <v>0</v>
      </c>
      <c r="CX18">
        <f>ROUND(Y18*Source!I31,7)</f>
        <v>7.0092499999999998</v>
      </c>
      <c r="CY18">
        <f>AD18</f>
        <v>389.48</v>
      </c>
      <c r="CZ18">
        <f>AH18</f>
        <v>389.48</v>
      </c>
      <c r="DA18">
        <f>AL18</f>
        <v>1</v>
      </c>
      <c r="DB18">
        <f>ROUND((ROUND(AT18*CZ18,2)*ROUND(((0.15+1)*1.15),7)),6)</f>
        <v>10919.85605</v>
      </c>
      <c r="DC18">
        <f>ROUND((ROUND(AT18*AG18,2)*ROUND(((0.15+1)*1.15),7)),6)</f>
        <v>0</v>
      </c>
      <c r="DD18" t="s">
        <v>3</v>
      </c>
      <c r="DE18" t="s">
        <v>3</v>
      </c>
      <c r="DF18">
        <f>ROUND(ROUND(AE18,2)*CX18,2)</f>
        <v>0</v>
      </c>
      <c r="DG18">
        <f>ROUND(ROUND(AF18,2)*CX18,2)</f>
        <v>0</v>
      </c>
      <c r="DH18">
        <f t="shared" si="3"/>
        <v>0</v>
      </c>
      <c r="DI18">
        <f t="shared" si="4"/>
        <v>2729.96</v>
      </c>
      <c r="DJ18">
        <f>DI18</f>
        <v>2729.96</v>
      </c>
      <c r="DK18">
        <v>1</v>
      </c>
      <c r="DL18" t="s">
        <v>3</v>
      </c>
      <c r="DM18">
        <v>0</v>
      </c>
      <c r="DN18" t="s">
        <v>3</v>
      </c>
      <c r="DO18">
        <v>0</v>
      </c>
    </row>
    <row r="19" spans="1:119">
      <c r="A19">
        <f>ROW(Source!A31)</f>
        <v>31</v>
      </c>
      <c r="B19">
        <v>46261364</v>
      </c>
      <c r="C19">
        <v>46261164</v>
      </c>
      <c r="D19">
        <v>39475155</v>
      </c>
      <c r="E19">
        <v>116</v>
      </c>
      <c r="F19">
        <v>1</v>
      </c>
      <c r="G19">
        <v>1</v>
      </c>
      <c r="H19">
        <v>1</v>
      </c>
      <c r="I19" t="s">
        <v>274</v>
      </c>
      <c r="J19" t="s">
        <v>3</v>
      </c>
      <c r="K19" t="s">
        <v>275</v>
      </c>
      <c r="L19">
        <v>1191</v>
      </c>
      <c r="N19">
        <v>1013</v>
      </c>
      <c r="O19" t="s">
        <v>271</v>
      </c>
      <c r="P19" t="s">
        <v>271</v>
      </c>
      <c r="Q19">
        <v>1</v>
      </c>
      <c r="W19">
        <v>0</v>
      </c>
      <c r="X19">
        <v>-1417349443</v>
      </c>
      <c r="Y19">
        <f>(AT19*ROUND(((0.15+1)*1.25),7))</f>
        <v>0.28750000000000003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3</v>
      </c>
      <c r="AT19">
        <v>0.2</v>
      </c>
      <c r="AU19" t="s">
        <v>81</v>
      </c>
      <c r="AV19">
        <v>2</v>
      </c>
      <c r="AW19">
        <v>2</v>
      </c>
      <c r="AX19">
        <v>46261174</v>
      </c>
      <c r="AY19">
        <v>1</v>
      </c>
      <c r="AZ19">
        <v>0</v>
      </c>
      <c r="BA19">
        <v>20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CV19">
        <v>0</v>
      </c>
      <c r="CW19">
        <v>0</v>
      </c>
      <c r="CX19">
        <f>ROUND(Y19*Source!I31,7)</f>
        <v>7.1874999999999994E-2</v>
      </c>
      <c r="CY19">
        <f>AD19</f>
        <v>0</v>
      </c>
      <c r="CZ19">
        <f>AH19</f>
        <v>0</v>
      </c>
      <c r="DA19">
        <f>AL19</f>
        <v>1</v>
      </c>
      <c r="DB19">
        <f>ROUND((ROUND(AT19*CZ19,2)*ROUND(((0.15+1)*1.25),7)),6)</f>
        <v>0</v>
      </c>
      <c r="DC19">
        <f>ROUND((ROUND(AT19*AG19,2)*ROUND(((0.15+1)*1.25),7)),6)</f>
        <v>0</v>
      </c>
      <c r="DD19" t="s">
        <v>3</v>
      </c>
      <c r="DE19" t="s">
        <v>3</v>
      </c>
      <c r="DF19">
        <f>ROUND(ROUND(AE19,2)*CX19,2)</f>
        <v>0</v>
      </c>
      <c r="DG19">
        <f>ROUND(ROUND(AF19,2)*CX19,2)</f>
        <v>0</v>
      </c>
      <c r="DH19">
        <f t="shared" si="3"/>
        <v>0</v>
      </c>
      <c r="DI19">
        <f t="shared" si="4"/>
        <v>0</v>
      </c>
      <c r="DJ19">
        <f>DI19</f>
        <v>0</v>
      </c>
      <c r="DK19">
        <v>0</v>
      </c>
      <c r="DL19" t="s">
        <v>3</v>
      </c>
      <c r="DM19">
        <v>0</v>
      </c>
      <c r="DN19" t="s">
        <v>3</v>
      </c>
      <c r="DO19">
        <v>0</v>
      </c>
    </row>
    <row r="20" spans="1:119">
      <c r="A20">
        <f>ROW(Source!A31)</f>
        <v>31</v>
      </c>
      <c r="B20">
        <v>46261364</v>
      </c>
      <c r="C20">
        <v>46261164</v>
      </c>
      <c r="D20">
        <v>39600287</v>
      </c>
      <c r="E20">
        <v>1</v>
      </c>
      <c r="F20">
        <v>1</v>
      </c>
      <c r="G20">
        <v>1</v>
      </c>
      <c r="H20">
        <v>2</v>
      </c>
      <c r="I20" t="s">
        <v>312</v>
      </c>
      <c r="J20" t="s">
        <v>313</v>
      </c>
      <c r="K20" t="s">
        <v>314</v>
      </c>
      <c r="L20">
        <v>1368</v>
      </c>
      <c r="N20">
        <v>1011</v>
      </c>
      <c r="O20" t="s">
        <v>279</v>
      </c>
      <c r="P20" t="s">
        <v>279</v>
      </c>
      <c r="Q20">
        <v>1</v>
      </c>
      <c r="W20">
        <v>0</v>
      </c>
      <c r="X20">
        <v>1483591404</v>
      </c>
      <c r="Y20">
        <f>(AT20*ROUND(((0.15+1)*1.25),7))</f>
        <v>2.8031250000000001</v>
      </c>
      <c r="AA20">
        <v>0</v>
      </c>
      <c r="AB20">
        <v>158.12</v>
      </c>
      <c r="AC20">
        <v>0</v>
      </c>
      <c r="AD20">
        <v>0</v>
      </c>
      <c r="AE20">
        <v>0</v>
      </c>
      <c r="AF20">
        <v>95.25</v>
      </c>
      <c r="AG20">
        <v>0</v>
      </c>
      <c r="AH20">
        <v>0</v>
      </c>
      <c r="AI20">
        <v>1</v>
      </c>
      <c r="AJ20">
        <v>1.66</v>
      </c>
      <c r="AK20">
        <v>1</v>
      </c>
      <c r="AL20">
        <v>1</v>
      </c>
      <c r="AM20">
        <v>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3</v>
      </c>
      <c r="AT20">
        <v>1.95</v>
      </c>
      <c r="AU20" t="s">
        <v>81</v>
      </c>
      <c r="AV20">
        <v>1</v>
      </c>
      <c r="AW20">
        <v>2</v>
      </c>
      <c r="AX20">
        <v>46261175</v>
      </c>
      <c r="AY20">
        <v>1</v>
      </c>
      <c r="AZ20">
        <v>0</v>
      </c>
      <c r="BA20">
        <v>21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185.73749999999998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0</v>
      </c>
      <c r="BR20">
        <v>266.99765624999998</v>
      </c>
      <c r="BS20">
        <v>0</v>
      </c>
      <c r="BT20">
        <v>0</v>
      </c>
      <c r="BU20">
        <v>0</v>
      </c>
      <c r="BV20">
        <v>0</v>
      </c>
      <c r="BW20">
        <v>1</v>
      </c>
      <c r="CV20">
        <v>0</v>
      </c>
      <c r="CW20">
        <f>ROUND(Y20*Source!I31*DO20,7)</f>
        <v>0</v>
      </c>
      <c r="CX20">
        <f>ROUND(Y20*Source!I31,7)</f>
        <v>0.70078130000000005</v>
      </c>
      <c r="CY20">
        <f>AB20</f>
        <v>158.12</v>
      </c>
      <c r="CZ20">
        <f>AF20</f>
        <v>95.25</v>
      </c>
      <c r="DA20">
        <f>AJ20</f>
        <v>1.66</v>
      </c>
      <c r="DB20">
        <f>ROUND((ROUND(AT20*CZ20,2)*ROUND(((0.15+1)*1.25),7)),6)</f>
        <v>267.00125000000003</v>
      </c>
      <c r="DC20">
        <f>ROUND((ROUND(AT20*AG20,2)*ROUND(((0.15+1)*1.25),7)),6)</f>
        <v>0</v>
      </c>
      <c r="DD20" t="s">
        <v>3</v>
      </c>
      <c r="DE20" t="s">
        <v>3</v>
      </c>
      <c r="DF20">
        <f>ROUND(ROUND(AE20,2)*CX20,2)</f>
        <v>0</v>
      </c>
      <c r="DG20">
        <f>ROUND(ROUND(AF20*AJ20,2)*CX20,2)</f>
        <v>110.81</v>
      </c>
      <c r="DH20">
        <f t="shared" si="3"/>
        <v>0</v>
      </c>
      <c r="DI20">
        <f t="shared" si="4"/>
        <v>0</v>
      </c>
      <c r="DJ20">
        <f>DG20+DH20</f>
        <v>110.81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>
      <c r="A21">
        <f>ROW(Source!A31)</f>
        <v>31</v>
      </c>
      <c r="B21">
        <v>46261364</v>
      </c>
      <c r="C21">
        <v>46261164</v>
      </c>
      <c r="D21">
        <v>39600822</v>
      </c>
      <c r="E21">
        <v>1</v>
      </c>
      <c r="F21">
        <v>1</v>
      </c>
      <c r="G21">
        <v>1</v>
      </c>
      <c r="H21">
        <v>2</v>
      </c>
      <c r="I21" t="s">
        <v>315</v>
      </c>
      <c r="J21" t="s">
        <v>316</v>
      </c>
      <c r="K21" t="s">
        <v>317</v>
      </c>
      <c r="L21">
        <v>1368</v>
      </c>
      <c r="N21">
        <v>1011</v>
      </c>
      <c r="O21" t="s">
        <v>279</v>
      </c>
      <c r="P21" t="s">
        <v>279</v>
      </c>
      <c r="Q21">
        <v>1</v>
      </c>
      <c r="W21">
        <v>0</v>
      </c>
      <c r="X21">
        <v>-950105757</v>
      </c>
      <c r="Y21">
        <f>(AT21*ROUND(((0.15+1)*1.25),7))</f>
        <v>0.28750000000000003</v>
      </c>
      <c r="AA21">
        <v>0</v>
      </c>
      <c r="AB21">
        <v>579.09</v>
      </c>
      <c r="AC21">
        <v>393.89</v>
      </c>
      <c r="AD21">
        <v>0</v>
      </c>
      <c r="AE21">
        <v>0</v>
      </c>
      <c r="AF21">
        <v>579.09</v>
      </c>
      <c r="AG21">
        <v>393.89</v>
      </c>
      <c r="AH21">
        <v>0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3</v>
      </c>
      <c r="AT21">
        <v>0.2</v>
      </c>
      <c r="AU21" t="s">
        <v>81</v>
      </c>
      <c r="AV21">
        <v>1</v>
      </c>
      <c r="AW21">
        <v>2</v>
      </c>
      <c r="AX21">
        <v>46261176</v>
      </c>
      <c r="AY21">
        <v>2</v>
      </c>
      <c r="AZ21">
        <v>98304</v>
      </c>
      <c r="BA21">
        <v>22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115.81800000000001</v>
      </c>
      <c r="BL21">
        <v>78.778000000000006</v>
      </c>
      <c r="BM21">
        <v>0</v>
      </c>
      <c r="BN21">
        <v>0</v>
      </c>
      <c r="BO21">
        <v>0.2</v>
      </c>
      <c r="BP21">
        <v>1</v>
      </c>
      <c r="BQ21">
        <v>0</v>
      </c>
      <c r="BR21">
        <v>166.48837499999999</v>
      </c>
      <c r="BS21">
        <v>113.24337499999999</v>
      </c>
      <c r="BT21">
        <v>0</v>
      </c>
      <c r="BU21">
        <v>0</v>
      </c>
      <c r="BV21">
        <v>0.28749999999999998</v>
      </c>
      <c r="BW21">
        <v>1</v>
      </c>
      <c r="CV21">
        <v>0</v>
      </c>
      <c r="CW21">
        <f>ROUND(Y21*Source!I31*DO21,7)</f>
        <v>7.1874999999999994E-2</v>
      </c>
      <c r="CX21">
        <f>ROUND(Y21*Source!I31,7)</f>
        <v>7.1874999999999994E-2</v>
      </c>
      <c r="CY21">
        <f>AB21</f>
        <v>579.09</v>
      </c>
      <c r="CZ21">
        <f>AF21</f>
        <v>579.09</v>
      </c>
      <c r="DA21">
        <f>AJ21</f>
        <v>1</v>
      </c>
      <c r="DB21">
        <f>ROUND((ROUND(AT21*CZ21,2)*ROUND(((0.15+1)*1.25),7)),6)</f>
        <v>166.49125000000001</v>
      </c>
      <c r="DC21">
        <f>ROUND((ROUND(AT21*AG21,2)*ROUND(((0.15+1)*1.25),7)),6)</f>
        <v>113.24625</v>
      </c>
      <c r="DD21" t="s">
        <v>3</v>
      </c>
      <c r="DE21" t="s">
        <v>3</v>
      </c>
      <c r="DF21">
        <f>ROUND(ROUND(AE21,2)*CX21,2)</f>
        <v>0</v>
      </c>
      <c r="DG21">
        <f t="shared" ref="DG21:DG27" si="7">ROUND(ROUND(AF21,2)*CX21,2)</f>
        <v>41.62</v>
      </c>
      <c r="DH21">
        <f t="shared" si="3"/>
        <v>28.31</v>
      </c>
      <c r="DI21">
        <f t="shared" si="4"/>
        <v>0</v>
      </c>
      <c r="DJ21">
        <f>DG21+DH21</f>
        <v>69.929999999999993</v>
      </c>
      <c r="DK21">
        <v>1</v>
      </c>
      <c r="DL21" t="s">
        <v>295</v>
      </c>
      <c r="DM21">
        <v>4</v>
      </c>
      <c r="DN21" t="s">
        <v>271</v>
      </c>
      <c r="DO21">
        <v>1</v>
      </c>
    </row>
    <row r="22" spans="1:119">
      <c r="A22">
        <f>ROW(Source!A31)</f>
        <v>31</v>
      </c>
      <c r="B22">
        <v>46261364</v>
      </c>
      <c r="C22">
        <v>46261164</v>
      </c>
      <c r="D22">
        <v>39545641</v>
      </c>
      <c r="E22">
        <v>1</v>
      </c>
      <c r="F22">
        <v>1</v>
      </c>
      <c r="G22">
        <v>1</v>
      </c>
      <c r="H22">
        <v>3</v>
      </c>
      <c r="I22" t="s">
        <v>88</v>
      </c>
      <c r="J22" t="s">
        <v>91</v>
      </c>
      <c r="K22" t="s">
        <v>89</v>
      </c>
      <c r="L22">
        <v>1348</v>
      </c>
      <c r="N22">
        <v>1009</v>
      </c>
      <c r="O22" t="s">
        <v>90</v>
      </c>
      <c r="P22" t="s">
        <v>90</v>
      </c>
      <c r="Q22">
        <v>1000</v>
      </c>
      <c r="W22">
        <v>0</v>
      </c>
      <c r="X22">
        <v>1958720091</v>
      </c>
      <c r="Y22">
        <f>AT22</f>
        <v>1.6E-2</v>
      </c>
      <c r="AA22">
        <v>19520.43</v>
      </c>
      <c r="AB22">
        <v>0</v>
      </c>
      <c r="AC22">
        <v>0</v>
      </c>
      <c r="AD22">
        <v>0</v>
      </c>
      <c r="AE22">
        <v>22965.21</v>
      </c>
      <c r="AF22">
        <v>0</v>
      </c>
      <c r="AG22">
        <v>0</v>
      </c>
      <c r="AH22">
        <v>0</v>
      </c>
      <c r="AI22">
        <v>0.85</v>
      </c>
      <c r="AJ22">
        <v>1</v>
      </c>
      <c r="AK22">
        <v>1</v>
      </c>
      <c r="AL22">
        <v>1</v>
      </c>
      <c r="AM22">
        <v>2</v>
      </c>
      <c r="AN22">
        <v>0</v>
      </c>
      <c r="AO22">
        <v>0</v>
      </c>
      <c r="AP22">
        <v>1</v>
      </c>
      <c r="AQ22">
        <v>0</v>
      </c>
      <c r="AR22">
        <v>0</v>
      </c>
      <c r="AS22" t="s">
        <v>3</v>
      </c>
      <c r="AT22">
        <v>1.6E-2</v>
      </c>
      <c r="AU22" t="s">
        <v>3</v>
      </c>
      <c r="AV22">
        <v>0</v>
      </c>
      <c r="AW22">
        <v>1</v>
      </c>
      <c r="AX22">
        <v>-1</v>
      </c>
      <c r="AY22">
        <v>0</v>
      </c>
      <c r="AZ22">
        <v>0</v>
      </c>
      <c r="BA22" t="s">
        <v>3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V22">
        <v>0</v>
      </c>
      <c r="CW22">
        <v>0</v>
      </c>
      <c r="CX22">
        <f>ROUND(Y22*Source!I31,7)</f>
        <v>4.0000000000000001E-3</v>
      </c>
      <c r="CY22">
        <f>AA22</f>
        <v>19520.43</v>
      </c>
      <c r="CZ22">
        <f>AE22</f>
        <v>22965.21</v>
      </c>
      <c r="DA22">
        <f>AI22</f>
        <v>0.85</v>
      </c>
      <c r="DB22">
        <f>ROUND(ROUND(AT22*CZ22,2),6)</f>
        <v>367.44</v>
      </c>
      <c r="DC22">
        <f>ROUND(ROUND(AT22*AG22,2),6)</f>
        <v>0</v>
      </c>
      <c r="DD22" t="s">
        <v>3</v>
      </c>
      <c r="DE22" t="s">
        <v>3</v>
      </c>
      <c r="DF22">
        <f>ROUND(ROUND(AE22*AI22,2)*CX22,2)</f>
        <v>78.08</v>
      </c>
      <c r="DG22">
        <f t="shared" si="7"/>
        <v>0</v>
      </c>
      <c r="DH22">
        <f t="shared" si="3"/>
        <v>0</v>
      </c>
      <c r="DI22">
        <f t="shared" si="4"/>
        <v>0</v>
      </c>
      <c r="DJ22">
        <f>DF22</f>
        <v>78.08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>
      <c r="A23">
        <f>ROW(Source!A31)</f>
        <v>31</v>
      </c>
      <c r="B23">
        <v>46261364</v>
      </c>
      <c r="C23">
        <v>46261164</v>
      </c>
      <c r="D23">
        <v>39545661</v>
      </c>
      <c r="E23">
        <v>1</v>
      </c>
      <c r="F23">
        <v>1</v>
      </c>
      <c r="G23">
        <v>1</v>
      </c>
      <c r="H23">
        <v>3</v>
      </c>
      <c r="I23" t="s">
        <v>93</v>
      </c>
      <c r="J23" t="s">
        <v>96</v>
      </c>
      <c r="K23" t="s">
        <v>94</v>
      </c>
      <c r="L23">
        <v>1346</v>
      </c>
      <c r="N23">
        <v>1009</v>
      </c>
      <c r="O23" t="s">
        <v>95</v>
      </c>
      <c r="P23" t="s">
        <v>95</v>
      </c>
      <c r="Q23">
        <v>1</v>
      </c>
      <c r="W23">
        <v>0</v>
      </c>
      <c r="X23">
        <v>-1496760548</v>
      </c>
      <c r="Y23">
        <f>AT23</f>
        <v>240</v>
      </c>
      <c r="AA23">
        <v>207.84</v>
      </c>
      <c r="AB23">
        <v>0</v>
      </c>
      <c r="AC23">
        <v>0</v>
      </c>
      <c r="AD23">
        <v>0</v>
      </c>
      <c r="AE23">
        <v>122.98</v>
      </c>
      <c r="AF23">
        <v>0</v>
      </c>
      <c r="AG23">
        <v>0</v>
      </c>
      <c r="AH23">
        <v>0</v>
      </c>
      <c r="AI23">
        <v>1.69</v>
      </c>
      <c r="AJ23">
        <v>1</v>
      </c>
      <c r="AK23">
        <v>1</v>
      </c>
      <c r="AL23">
        <v>1</v>
      </c>
      <c r="AM23">
        <v>2</v>
      </c>
      <c r="AN23">
        <v>0</v>
      </c>
      <c r="AO23">
        <v>0</v>
      </c>
      <c r="AP23">
        <v>1</v>
      </c>
      <c r="AQ23">
        <v>0</v>
      </c>
      <c r="AR23">
        <v>0</v>
      </c>
      <c r="AS23" t="s">
        <v>3</v>
      </c>
      <c r="AT23">
        <v>240</v>
      </c>
      <c r="AU23" t="s">
        <v>3</v>
      </c>
      <c r="AV23">
        <v>0</v>
      </c>
      <c r="AW23">
        <v>1</v>
      </c>
      <c r="AX23">
        <v>-1</v>
      </c>
      <c r="AY23">
        <v>0</v>
      </c>
      <c r="AZ23">
        <v>0</v>
      </c>
      <c r="BA23" t="s">
        <v>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ROUND(Y23*Source!I31,7)</f>
        <v>60</v>
      </c>
      <c r="CY23">
        <f>AA23</f>
        <v>207.84</v>
      </c>
      <c r="CZ23">
        <f>AE23</f>
        <v>122.98</v>
      </c>
      <c r="DA23">
        <f>AI23</f>
        <v>1.69</v>
      </c>
      <c r="DB23">
        <f>ROUND(ROUND(AT23*CZ23,2),6)</f>
        <v>29515.200000000001</v>
      </c>
      <c r="DC23">
        <f>ROUND(ROUND(AT23*AG23,2),6)</f>
        <v>0</v>
      </c>
      <c r="DD23" t="s">
        <v>3</v>
      </c>
      <c r="DE23" t="s">
        <v>3</v>
      </c>
      <c r="DF23">
        <f>ROUND(ROUND(AE23*AI23,2)*CX23,2)</f>
        <v>12470.4</v>
      </c>
      <c r="DG23">
        <f t="shared" si="7"/>
        <v>0</v>
      </c>
      <c r="DH23">
        <f t="shared" si="3"/>
        <v>0</v>
      </c>
      <c r="DI23">
        <f t="shared" si="4"/>
        <v>0</v>
      </c>
      <c r="DJ23">
        <f>DF23</f>
        <v>12470.4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>
      <c r="A24">
        <f>ROW(Source!A31)</f>
        <v>31</v>
      </c>
      <c r="B24">
        <v>46261364</v>
      </c>
      <c r="C24">
        <v>46261164</v>
      </c>
      <c r="D24">
        <v>39545723</v>
      </c>
      <c r="E24">
        <v>1</v>
      </c>
      <c r="F24">
        <v>1</v>
      </c>
      <c r="G24">
        <v>1</v>
      </c>
      <c r="H24">
        <v>3</v>
      </c>
      <c r="I24" t="s">
        <v>318</v>
      </c>
      <c r="J24" t="s">
        <v>319</v>
      </c>
      <c r="K24" t="s">
        <v>320</v>
      </c>
      <c r="L24">
        <v>1348</v>
      </c>
      <c r="N24">
        <v>1009</v>
      </c>
      <c r="O24" t="s">
        <v>90</v>
      </c>
      <c r="P24" t="s">
        <v>90</v>
      </c>
      <c r="Q24">
        <v>1000</v>
      </c>
      <c r="W24">
        <v>0</v>
      </c>
      <c r="X24">
        <v>1152227169</v>
      </c>
      <c r="Y24">
        <f>AT24</f>
        <v>2.4E-2</v>
      </c>
      <c r="AA24">
        <v>73380.37</v>
      </c>
      <c r="AB24">
        <v>0</v>
      </c>
      <c r="AC24">
        <v>0</v>
      </c>
      <c r="AD24">
        <v>0</v>
      </c>
      <c r="AE24">
        <v>62186.75</v>
      </c>
      <c r="AF24">
        <v>0</v>
      </c>
      <c r="AG24">
        <v>0</v>
      </c>
      <c r="AH24">
        <v>0</v>
      </c>
      <c r="AI24">
        <v>1.18</v>
      </c>
      <c r="AJ24">
        <v>1</v>
      </c>
      <c r="AK24">
        <v>1</v>
      </c>
      <c r="AL24">
        <v>1</v>
      </c>
      <c r="AM24">
        <v>2</v>
      </c>
      <c r="AN24">
        <v>0</v>
      </c>
      <c r="AO24">
        <v>0</v>
      </c>
      <c r="AP24">
        <v>1</v>
      </c>
      <c r="AQ24">
        <v>1</v>
      </c>
      <c r="AR24">
        <v>0</v>
      </c>
      <c r="AS24" t="s">
        <v>3</v>
      </c>
      <c r="AT24">
        <v>2.4E-2</v>
      </c>
      <c r="AU24" t="s">
        <v>3</v>
      </c>
      <c r="AV24">
        <v>0</v>
      </c>
      <c r="AW24">
        <v>2</v>
      </c>
      <c r="AX24">
        <v>46261179</v>
      </c>
      <c r="AY24">
        <v>1</v>
      </c>
      <c r="AZ24">
        <v>0</v>
      </c>
      <c r="BA24">
        <v>25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1492.482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1492.482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CV24">
        <v>0</v>
      </c>
      <c r="CW24">
        <v>0</v>
      </c>
      <c r="CX24">
        <f>ROUND(Y24*Source!I31,7)</f>
        <v>6.0000000000000001E-3</v>
      </c>
      <c r="CY24">
        <f>AA24</f>
        <v>73380.37</v>
      </c>
      <c r="CZ24">
        <f>AE24</f>
        <v>62186.75</v>
      </c>
      <c r="DA24">
        <f>AI24</f>
        <v>1.18</v>
      </c>
      <c r="DB24">
        <f>ROUND(ROUND(AT24*CZ24,2),6)</f>
        <v>1492.48</v>
      </c>
      <c r="DC24">
        <f>ROUND(ROUND(AT24*AG24,2),6)</f>
        <v>0</v>
      </c>
      <c r="DD24" t="s">
        <v>3</v>
      </c>
      <c r="DE24" t="s">
        <v>3</v>
      </c>
      <c r="DF24">
        <f>ROUND(ROUND(AE24*AI24,2)*CX24,2)</f>
        <v>440.28</v>
      </c>
      <c r="DG24">
        <f t="shared" si="7"/>
        <v>0</v>
      </c>
      <c r="DH24">
        <f t="shared" si="3"/>
        <v>0</v>
      </c>
      <c r="DI24">
        <f t="shared" si="4"/>
        <v>0</v>
      </c>
      <c r="DJ24">
        <f>DF24</f>
        <v>440.28</v>
      </c>
      <c r="DK24">
        <v>0</v>
      </c>
      <c r="DL24" t="s">
        <v>3</v>
      </c>
      <c r="DM24">
        <v>0</v>
      </c>
      <c r="DN24" t="s">
        <v>3</v>
      </c>
      <c r="DO24">
        <v>0</v>
      </c>
    </row>
    <row r="25" spans="1:119">
      <c r="A25">
        <f>ROW(Source!A31)</f>
        <v>31</v>
      </c>
      <c r="B25">
        <v>46261364</v>
      </c>
      <c r="C25">
        <v>46261164</v>
      </c>
      <c r="D25">
        <v>39551193</v>
      </c>
      <c r="E25">
        <v>1</v>
      </c>
      <c r="F25">
        <v>1</v>
      </c>
      <c r="G25">
        <v>1</v>
      </c>
      <c r="H25">
        <v>3</v>
      </c>
      <c r="I25" t="s">
        <v>321</v>
      </c>
      <c r="J25" t="s">
        <v>322</v>
      </c>
      <c r="K25" t="s">
        <v>323</v>
      </c>
      <c r="L25">
        <v>1346</v>
      </c>
      <c r="N25">
        <v>1009</v>
      </c>
      <c r="O25" t="s">
        <v>95</v>
      </c>
      <c r="P25" t="s">
        <v>95</v>
      </c>
      <c r="Q25">
        <v>1</v>
      </c>
      <c r="W25">
        <v>0</v>
      </c>
      <c r="X25">
        <v>447926158</v>
      </c>
      <c r="Y25">
        <f>AT25</f>
        <v>0.1</v>
      </c>
      <c r="AA25">
        <v>92.02</v>
      </c>
      <c r="AB25">
        <v>0</v>
      </c>
      <c r="AC25">
        <v>0</v>
      </c>
      <c r="AD25">
        <v>0</v>
      </c>
      <c r="AE25">
        <v>56.11</v>
      </c>
      <c r="AF25">
        <v>0</v>
      </c>
      <c r="AG25">
        <v>0</v>
      </c>
      <c r="AH25">
        <v>0</v>
      </c>
      <c r="AI25">
        <v>1.64</v>
      </c>
      <c r="AJ25">
        <v>1</v>
      </c>
      <c r="AK25">
        <v>1</v>
      </c>
      <c r="AL25">
        <v>1</v>
      </c>
      <c r="AM25">
        <v>2</v>
      </c>
      <c r="AN25">
        <v>0</v>
      </c>
      <c r="AO25">
        <v>0</v>
      </c>
      <c r="AP25">
        <v>1</v>
      </c>
      <c r="AQ25">
        <v>1</v>
      </c>
      <c r="AR25">
        <v>0</v>
      </c>
      <c r="AS25" t="s">
        <v>3</v>
      </c>
      <c r="AT25">
        <v>0.1</v>
      </c>
      <c r="AU25" t="s">
        <v>3</v>
      </c>
      <c r="AV25">
        <v>0</v>
      </c>
      <c r="AW25">
        <v>2</v>
      </c>
      <c r="AX25">
        <v>46261180</v>
      </c>
      <c r="AY25">
        <v>1</v>
      </c>
      <c r="AZ25">
        <v>0</v>
      </c>
      <c r="BA25">
        <v>26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5.6110000000000007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5.6110000000000007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1</v>
      </c>
      <c r="CV25">
        <v>0</v>
      </c>
      <c r="CW25">
        <v>0</v>
      </c>
      <c r="CX25">
        <f>ROUND(Y25*Source!I31,7)</f>
        <v>2.5000000000000001E-2</v>
      </c>
      <c r="CY25">
        <f>AA25</f>
        <v>92.02</v>
      </c>
      <c r="CZ25">
        <f>AE25</f>
        <v>56.11</v>
      </c>
      <c r="DA25">
        <f>AI25</f>
        <v>1.64</v>
      </c>
      <c r="DB25">
        <f>ROUND(ROUND(AT25*CZ25,2),6)</f>
        <v>5.61</v>
      </c>
      <c r="DC25">
        <f>ROUND(ROUND(AT25*AG25,2),6)</f>
        <v>0</v>
      </c>
      <c r="DD25" t="s">
        <v>3</v>
      </c>
      <c r="DE25" t="s">
        <v>3</v>
      </c>
      <c r="DF25">
        <f>ROUND(ROUND(AE25*AI25,2)*CX25,2)</f>
        <v>2.2999999999999998</v>
      </c>
      <c r="DG25">
        <f t="shared" si="7"/>
        <v>0</v>
      </c>
      <c r="DH25">
        <f t="shared" si="3"/>
        <v>0</v>
      </c>
      <c r="DI25">
        <f t="shared" si="4"/>
        <v>0</v>
      </c>
      <c r="DJ25">
        <f>DF25</f>
        <v>2.2999999999999998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>
      <c r="A26">
        <f>ROW(Source!A34)</f>
        <v>34</v>
      </c>
      <c r="B26">
        <v>46261364</v>
      </c>
      <c r="C26">
        <v>46261183</v>
      </c>
      <c r="D26">
        <v>39474935</v>
      </c>
      <c r="E26">
        <v>116</v>
      </c>
      <c r="F26">
        <v>1</v>
      </c>
      <c r="G26">
        <v>1</v>
      </c>
      <c r="H26">
        <v>1</v>
      </c>
      <c r="I26" t="s">
        <v>324</v>
      </c>
      <c r="J26" t="s">
        <v>3</v>
      </c>
      <c r="K26" t="s">
        <v>325</v>
      </c>
      <c r="L26">
        <v>1191</v>
      </c>
      <c r="N26">
        <v>1013</v>
      </c>
      <c r="O26" t="s">
        <v>271</v>
      </c>
      <c r="P26" t="s">
        <v>271</v>
      </c>
      <c r="Q26">
        <v>1</v>
      </c>
      <c r="W26">
        <v>0</v>
      </c>
      <c r="X26">
        <v>1689191095</v>
      </c>
      <c r="Y26">
        <f>(AT26*ROUND(((0.15+1)*1.15),7))</f>
        <v>19.044</v>
      </c>
      <c r="AA26">
        <v>0</v>
      </c>
      <c r="AB26">
        <v>0</v>
      </c>
      <c r="AC26">
        <v>0</v>
      </c>
      <c r="AD26">
        <v>329.22</v>
      </c>
      <c r="AE26">
        <v>0</v>
      </c>
      <c r="AF26">
        <v>0</v>
      </c>
      <c r="AG26">
        <v>0</v>
      </c>
      <c r="AH26">
        <v>329.22</v>
      </c>
      <c r="AI26">
        <v>1</v>
      </c>
      <c r="AJ26">
        <v>1</v>
      </c>
      <c r="AK26">
        <v>1</v>
      </c>
      <c r="AL26">
        <v>1</v>
      </c>
      <c r="AM26">
        <v>-2</v>
      </c>
      <c r="AN26">
        <v>0</v>
      </c>
      <c r="AO26">
        <v>0</v>
      </c>
      <c r="AP26">
        <v>1</v>
      </c>
      <c r="AQ26">
        <v>1</v>
      </c>
      <c r="AR26">
        <v>0</v>
      </c>
      <c r="AS26" t="s">
        <v>3</v>
      </c>
      <c r="AT26">
        <v>14.4</v>
      </c>
      <c r="AU26" t="s">
        <v>82</v>
      </c>
      <c r="AV26">
        <v>1</v>
      </c>
      <c r="AW26">
        <v>2</v>
      </c>
      <c r="AX26">
        <v>46261192</v>
      </c>
      <c r="AY26">
        <v>2</v>
      </c>
      <c r="AZ26">
        <v>131072</v>
      </c>
      <c r="BA26">
        <v>27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4740.7680000000009</v>
      </c>
      <c r="BN26">
        <v>14.4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6269.6656799999992</v>
      </c>
      <c r="BU26">
        <v>19.043999999999997</v>
      </c>
      <c r="BV26">
        <v>0</v>
      </c>
      <c r="BW26">
        <v>1</v>
      </c>
      <c r="CU26">
        <f>ROUND(AT26*Source!I34*AH26*AL26,2)</f>
        <v>237.04</v>
      </c>
      <c r="CV26">
        <f>ROUND(Y26*Source!I34,7)</f>
        <v>0.95220000000000005</v>
      </c>
      <c r="CW26">
        <v>0</v>
      </c>
      <c r="CX26">
        <f>ROUND(Y26*Source!I34,7)</f>
        <v>0.95220000000000005</v>
      </c>
      <c r="CY26">
        <f>AD26</f>
        <v>329.22</v>
      </c>
      <c r="CZ26">
        <f>AH26</f>
        <v>329.22</v>
      </c>
      <c r="DA26">
        <f>AL26</f>
        <v>1</v>
      </c>
      <c r="DB26">
        <f>ROUND((ROUND(AT26*CZ26,2)*ROUND(((0.15+1)*1.15),7)),6)</f>
        <v>6269.6683249999996</v>
      </c>
      <c r="DC26">
        <f>ROUND((ROUND(AT26*AG26,2)*ROUND(((0.15+1)*1.15),7)),6)</f>
        <v>0</v>
      </c>
      <c r="DD26" t="s">
        <v>3</v>
      </c>
      <c r="DE26" t="s">
        <v>3</v>
      </c>
      <c r="DF26">
        <f t="shared" ref="DF26:DF31" si="8">ROUND(ROUND(AE26,2)*CX26,2)</f>
        <v>0</v>
      </c>
      <c r="DG26">
        <f t="shared" si="7"/>
        <v>0</v>
      </c>
      <c r="DH26">
        <f t="shared" si="3"/>
        <v>0</v>
      </c>
      <c r="DI26">
        <f t="shared" si="4"/>
        <v>313.48</v>
      </c>
      <c r="DJ26">
        <f>DI26</f>
        <v>313.48</v>
      </c>
      <c r="DK26">
        <v>1</v>
      </c>
      <c r="DL26" t="s">
        <v>3</v>
      </c>
      <c r="DM26">
        <v>0</v>
      </c>
      <c r="DN26" t="s">
        <v>3</v>
      </c>
      <c r="DO26">
        <v>0</v>
      </c>
    </row>
    <row r="27" spans="1:119">
      <c r="A27">
        <f>ROW(Source!A34)</f>
        <v>34</v>
      </c>
      <c r="B27">
        <v>46261364</v>
      </c>
      <c r="C27">
        <v>46261183</v>
      </c>
      <c r="D27">
        <v>39475155</v>
      </c>
      <c r="E27">
        <v>116</v>
      </c>
      <c r="F27">
        <v>1</v>
      </c>
      <c r="G27">
        <v>1</v>
      </c>
      <c r="H27">
        <v>1</v>
      </c>
      <c r="I27" t="s">
        <v>274</v>
      </c>
      <c r="J27" t="s">
        <v>3</v>
      </c>
      <c r="K27" t="s">
        <v>275</v>
      </c>
      <c r="L27">
        <v>1191</v>
      </c>
      <c r="N27">
        <v>1013</v>
      </c>
      <c r="O27" t="s">
        <v>271</v>
      </c>
      <c r="P27" t="s">
        <v>271</v>
      </c>
      <c r="Q27">
        <v>1</v>
      </c>
      <c r="W27">
        <v>0</v>
      </c>
      <c r="X27">
        <v>-1417349443</v>
      </c>
      <c r="Y27">
        <f>(AT27*ROUND(((0.15+1)*1.25),7))</f>
        <v>19.952500000000001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13.88</v>
      </c>
      <c r="AU27" t="s">
        <v>81</v>
      </c>
      <c r="AV27">
        <v>2</v>
      </c>
      <c r="AW27">
        <v>2</v>
      </c>
      <c r="AX27">
        <v>46261193</v>
      </c>
      <c r="AY27">
        <v>1</v>
      </c>
      <c r="AZ27">
        <v>0</v>
      </c>
      <c r="BA27">
        <v>28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V27">
        <v>0</v>
      </c>
      <c r="CW27">
        <v>0</v>
      </c>
      <c r="CX27">
        <f>ROUND(Y27*Source!I34,7)</f>
        <v>0.99762499999999998</v>
      </c>
      <c r="CY27">
        <f>AD27</f>
        <v>0</v>
      </c>
      <c r="CZ27">
        <f>AH27</f>
        <v>0</v>
      </c>
      <c r="DA27">
        <f>AL27</f>
        <v>1</v>
      </c>
      <c r="DB27">
        <f>ROUND((ROUND(AT27*CZ27,2)*ROUND(((0.15+1)*1.25),7)),6)</f>
        <v>0</v>
      </c>
      <c r="DC27">
        <f>ROUND((ROUND(AT27*AG27,2)*ROUND(((0.15+1)*1.25),7)),6)</f>
        <v>0</v>
      </c>
      <c r="DD27" t="s">
        <v>3</v>
      </c>
      <c r="DE27" t="s">
        <v>3</v>
      </c>
      <c r="DF27">
        <f t="shared" si="8"/>
        <v>0</v>
      </c>
      <c r="DG27">
        <f t="shared" si="7"/>
        <v>0</v>
      </c>
      <c r="DH27">
        <f t="shared" si="3"/>
        <v>0</v>
      </c>
      <c r="DI27">
        <f t="shared" si="4"/>
        <v>0</v>
      </c>
      <c r="DJ27">
        <f>DI27</f>
        <v>0</v>
      </c>
      <c r="DK27">
        <v>0</v>
      </c>
      <c r="DL27" t="s">
        <v>3</v>
      </c>
      <c r="DM27">
        <v>0</v>
      </c>
      <c r="DN27" t="s">
        <v>3</v>
      </c>
      <c r="DO27">
        <v>0</v>
      </c>
    </row>
    <row r="28" spans="1:119">
      <c r="A28">
        <f>ROW(Source!A34)</f>
        <v>34</v>
      </c>
      <c r="B28">
        <v>46261364</v>
      </c>
      <c r="C28">
        <v>46261183</v>
      </c>
      <c r="D28">
        <v>39599492</v>
      </c>
      <c r="E28">
        <v>1</v>
      </c>
      <c r="F28">
        <v>1</v>
      </c>
      <c r="G28">
        <v>1</v>
      </c>
      <c r="H28">
        <v>2</v>
      </c>
      <c r="I28" t="s">
        <v>326</v>
      </c>
      <c r="J28" t="s">
        <v>327</v>
      </c>
      <c r="K28" t="s">
        <v>328</v>
      </c>
      <c r="L28">
        <v>1368</v>
      </c>
      <c r="N28">
        <v>1011</v>
      </c>
      <c r="O28" t="s">
        <v>279</v>
      </c>
      <c r="P28" t="s">
        <v>279</v>
      </c>
      <c r="Q28">
        <v>1</v>
      </c>
      <c r="W28">
        <v>0</v>
      </c>
      <c r="X28">
        <v>1821833497</v>
      </c>
      <c r="Y28">
        <f>(AT28*ROUND(((0.15+1)*1.25),7))</f>
        <v>2.5443750000000001</v>
      </c>
      <c r="AA28">
        <v>0</v>
      </c>
      <c r="AB28">
        <v>2648.21</v>
      </c>
      <c r="AC28">
        <v>529.11</v>
      </c>
      <c r="AD28">
        <v>0</v>
      </c>
      <c r="AE28">
        <v>0</v>
      </c>
      <c r="AF28">
        <v>1933</v>
      </c>
      <c r="AG28">
        <v>529.11</v>
      </c>
      <c r="AH28">
        <v>0</v>
      </c>
      <c r="AI28">
        <v>1</v>
      </c>
      <c r="AJ28">
        <v>1.37</v>
      </c>
      <c r="AK28">
        <v>1</v>
      </c>
      <c r="AL28">
        <v>1</v>
      </c>
      <c r="AM28">
        <v>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1.77</v>
      </c>
      <c r="AU28" t="s">
        <v>81</v>
      </c>
      <c r="AV28">
        <v>1</v>
      </c>
      <c r="AW28">
        <v>2</v>
      </c>
      <c r="AX28">
        <v>46261194</v>
      </c>
      <c r="AY28">
        <v>2</v>
      </c>
      <c r="AZ28">
        <v>65536</v>
      </c>
      <c r="BA28">
        <v>29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3421.41</v>
      </c>
      <c r="BL28">
        <v>936.52470000000005</v>
      </c>
      <c r="BM28">
        <v>0</v>
      </c>
      <c r="BN28">
        <v>0</v>
      </c>
      <c r="BO28">
        <v>1.77</v>
      </c>
      <c r="BP28">
        <v>1</v>
      </c>
      <c r="BQ28">
        <v>0</v>
      </c>
      <c r="BR28">
        <v>4918.2768749999996</v>
      </c>
      <c r="BS28">
        <v>1346.2542562499998</v>
      </c>
      <c r="BT28">
        <v>0</v>
      </c>
      <c r="BU28">
        <v>0</v>
      </c>
      <c r="BV28">
        <v>2.5443749999999996</v>
      </c>
      <c r="BW28">
        <v>1</v>
      </c>
      <c r="CV28">
        <v>0</v>
      </c>
      <c r="CW28">
        <f>ROUND(Y28*Source!I34*DO28,7)</f>
        <v>0.12721879999999999</v>
      </c>
      <c r="CX28">
        <f>ROUND(Y28*Source!I34,7)</f>
        <v>0.12721879999999999</v>
      </c>
      <c r="CY28">
        <f>AB28</f>
        <v>2648.21</v>
      </c>
      <c r="CZ28">
        <f>AF28</f>
        <v>1933</v>
      </c>
      <c r="DA28">
        <f>AJ28</f>
        <v>1.37</v>
      </c>
      <c r="DB28">
        <f>ROUND((ROUND(AT28*CZ28,2)*ROUND(((0.15+1)*1.25),7)),6)</f>
        <v>4918.2768749999996</v>
      </c>
      <c r="DC28">
        <f>ROUND((ROUND(AT28*AG28,2)*ROUND(((0.15+1)*1.25),7)),6)</f>
        <v>1346.2474999999999</v>
      </c>
      <c r="DD28" t="s">
        <v>3</v>
      </c>
      <c r="DE28" t="s">
        <v>3</v>
      </c>
      <c r="DF28">
        <f t="shared" si="8"/>
        <v>0</v>
      </c>
      <c r="DG28">
        <f>ROUND(ROUND(AF28*AJ28,2)*CX28,2)</f>
        <v>336.9</v>
      </c>
      <c r="DH28">
        <f t="shared" si="3"/>
        <v>67.31</v>
      </c>
      <c r="DI28">
        <f t="shared" si="4"/>
        <v>0</v>
      </c>
      <c r="DJ28">
        <f>DG28+DH28</f>
        <v>404.21</v>
      </c>
      <c r="DK28">
        <v>0</v>
      </c>
      <c r="DL28" t="s">
        <v>280</v>
      </c>
      <c r="DM28">
        <v>6</v>
      </c>
      <c r="DN28" t="s">
        <v>271</v>
      </c>
      <c r="DO28">
        <v>1</v>
      </c>
    </row>
    <row r="29" spans="1:119">
      <c r="A29">
        <f>ROW(Source!A34)</f>
        <v>34</v>
      </c>
      <c r="B29">
        <v>46261364</v>
      </c>
      <c r="C29">
        <v>46261183</v>
      </c>
      <c r="D29">
        <v>39600075</v>
      </c>
      <c r="E29">
        <v>1</v>
      </c>
      <c r="F29">
        <v>1</v>
      </c>
      <c r="G29">
        <v>1</v>
      </c>
      <c r="H29">
        <v>2</v>
      </c>
      <c r="I29" t="s">
        <v>329</v>
      </c>
      <c r="J29" t="s">
        <v>330</v>
      </c>
      <c r="K29" t="s">
        <v>331</v>
      </c>
      <c r="L29">
        <v>1368</v>
      </c>
      <c r="N29">
        <v>1011</v>
      </c>
      <c r="O29" t="s">
        <v>279</v>
      </c>
      <c r="P29" t="s">
        <v>279</v>
      </c>
      <c r="Q29">
        <v>1</v>
      </c>
      <c r="W29">
        <v>0</v>
      </c>
      <c r="X29">
        <v>1321393780</v>
      </c>
      <c r="Y29">
        <f>(AT29*ROUND(((0.15+1)*1.25),7))</f>
        <v>6.1668750000000001</v>
      </c>
      <c r="AA29">
        <v>0</v>
      </c>
      <c r="AB29">
        <v>1647.51</v>
      </c>
      <c r="AC29">
        <v>452.68</v>
      </c>
      <c r="AD29">
        <v>0</v>
      </c>
      <c r="AE29">
        <v>0</v>
      </c>
      <c r="AF29">
        <v>1647.51</v>
      </c>
      <c r="AG29">
        <v>452.68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-2</v>
      </c>
      <c r="AN29">
        <v>0</v>
      </c>
      <c r="AO29">
        <v>0</v>
      </c>
      <c r="AP29">
        <v>1</v>
      </c>
      <c r="AQ29">
        <v>1</v>
      </c>
      <c r="AR29">
        <v>0</v>
      </c>
      <c r="AS29" t="s">
        <v>3</v>
      </c>
      <c r="AT29">
        <v>4.29</v>
      </c>
      <c r="AU29" t="s">
        <v>81</v>
      </c>
      <c r="AV29">
        <v>1</v>
      </c>
      <c r="AW29">
        <v>2</v>
      </c>
      <c r="AX29">
        <v>46261195</v>
      </c>
      <c r="AY29">
        <v>2</v>
      </c>
      <c r="AZ29">
        <v>98304</v>
      </c>
      <c r="BA29">
        <v>30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7067.8179</v>
      </c>
      <c r="BL29">
        <v>1941.9972</v>
      </c>
      <c r="BM29">
        <v>0</v>
      </c>
      <c r="BN29">
        <v>0</v>
      </c>
      <c r="BO29">
        <v>4.29</v>
      </c>
      <c r="BP29">
        <v>1</v>
      </c>
      <c r="BQ29">
        <v>0</v>
      </c>
      <c r="BR29">
        <v>10159.988231249999</v>
      </c>
      <c r="BS29">
        <v>2791.6209749999998</v>
      </c>
      <c r="BT29">
        <v>0</v>
      </c>
      <c r="BU29">
        <v>0</v>
      </c>
      <c r="BV29">
        <v>6.1668749999999992</v>
      </c>
      <c r="BW29">
        <v>1</v>
      </c>
      <c r="CV29">
        <v>0</v>
      </c>
      <c r="CW29">
        <f>ROUND(Y29*Source!I34*DO29,7)</f>
        <v>0.3083438</v>
      </c>
      <c r="CX29">
        <f>ROUND(Y29*Source!I34,7)</f>
        <v>0.3083438</v>
      </c>
      <c r="CY29">
        <f>AB29</f>
        <v>1647.51</v>
      </c>
      <c r="CZ29">
        <f>AF29</f>
        <v>1647.51</v>
      </c>
      <c r="DA29">
        <f>AJ29</f>
        <v>1</v>
      </c>
      <c r="DB29">
        <f>ROUND((ROUND(AT29*CZ29,2)*ROUND(((0.15+1)*1.25),7)),6)</f>
        <v>10159.991249999999</v>
      </c>
      <c r="DC29">
        <f>ROUND((ROUND(AT29*AG29,2)*ROUND(((0.15+1)*1.25),7)),6)</f>
        <v>2791.625</v>
      </c>
      <c r="DD29" t="s">
        <v>3</v>
      </c>
      <c r="DE29" t="s">
        <v>3</v>
      </c>
      <c r="DF29">
        <f t="shared" si="8"/>
        <v>0</v>
      </c>
      <c r="DG29">
        <f>ROUND(ROUND(AF29,2)*CX29,2)</f>
        <v>508</v>
      </c>
      <c r="DH29">
        <f t="shared" si="3"/>
        <v>139.58000000000001</v>
      </c>
      <c r="DI29">
        <f t="shared" si="4"/>
        <v>0</v>
      </c>
      <c r="DJ29">
        <f>DG29+DH29</f>
        <v>647.58000000000004</v>
      </c>
      <c r="DK29">
        <v>1</v>
      </c>
      <c r="DL29" t="s">
        <v>332</v>
      </c>
      <c r="DM29">
        <v>5</v>
      </c>
      <c r="DN29" t="s">
        <v>271</v>
      </c>
      <c r="DO29">
        <v>1</v>
      </c>
    </row>
    <row r="30" spans="1:119">
      <c r="A30">
        <f>ROW(Source!A34)</f>
        <v>34</v>
      </c>
      <c r="B30">
        <v>46261364</v>
      </c>
      <c r="C30">
        <v>46261183</v>
      </c>
      <c r="D30">
        <v>39600277</v>
      </c>
      <c r="E30">
        <v>1</v>
      </c>
      <c r="F30">
        <v>1</v>
      </c>
      <c r="G30">
        <v>1</v>
      </c>
      <c r="H30">
        <v>2</v>
      </c>
      <c r="I30" t="s">
        <v>333</v>
      </c>
      <c r="J30" t="s">
        <v>334</v>
      </c>
      <c r="K30" t="s">
        <v>335</v>
      </c>
      <c r="L30">
        <v>1368</v>
      </c>
      <c r="N30">
        <v>1011</v>
      </c>
      <c r="O30" t="s">
        <v>279</v>
      </c>
      <c r="P30" t="s">
        <v>279</v>
      </c>
      <c r="Q30">
        <v>1</v>
      </c>
      <c r="W30">
        <v>0</v>
      </c>
      <c r="X30">
        <v>149413656</v>
      </c>
      <c r="Y30">
        <f>(AT30*ROUND(((0.15+1)*1.25),7))</f>
        <v>10.1775</v>
      </c>
      <c r="AA30">
        <v>0</v>
      </c>
      <c r="AB30">
        <v>3802.64</v>
      </c>
      <c r="AC30">
        <v>529.11</v>
      </c>
      <c r="AD30">
        <v>0</v>
      </c>
      <c r="AE30">
        <v>0</v>
      </c>
      <c r="AF30">
        <v>2391.6</v>
      </c>
      <c r="AG30">
        <v>529.11</v>
      </c>
      <c r="AH30">
        <v>0</v>
      </c>
      <c r="AI30">
        <v>1</v>
      </c>
      <c r="AJ30">
        <v>1.59</v>
      </c>
      <c r="AK30">
        <v>1</v>
      </c>
      <c r="AL30">
        <v>1</v>
      </c>
      <c r="AM30">
        <v>2</v>
      </c>
      <c r="AN30">
        <v>0</v>
      </c>
      <c r="AO30">
        <v>0</v>
      </c>
      <c r="AP30">
        <v>1</v>
      </c>
      <c r="AQ30">
        <v>1</v>
      </c>
      <c r="AR30">
        <v>0</v>
      </c>
      <c r="AS30" t="s">
        <v>3</v>
      </c>
      <c r="AT30">
        <v>7.08</v>
      </c>
      <c r="AU30" t="s">
        <v>81</v>
      </c>
      <c r="AV30">
        <v>1</v>
      </c>
      <c r="AW30">
        <v>2</v>
      </c>
      <c r="AX30">
        <v>46261196</v>
      </c>
      <c r="AY30">
        <v>2</v>
      </c>
      <c r="AZ30">
        <v>65536</v>
      </c>
      <c r="BA30">
        <v>31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16932.527999999998</v>
      </c>
      <c r="BL30">
        <v>3746.0988000000002</v>
      </c>
      <c r="BM30">
        <v>0</v>
      </c>
      <c r="BN30">
        <v>0</v>
      </c>
      <c r="BO30">
        <v>7.08</v>
      </c>
      <c r="BP30">
        <v>1</v>
      </c>
      <c r="BQ30">
        <v>0</v>
      </c>
      <c r="BR30">
        <v>24340.508999999995</v>
      </c>
      <c r="BS30">
        <v>5385.0170249999992</v>
      </c>
      <c r="BT30">
        <v>0</v>
      </c>
      <c r="BU30">
        <v>0</v>
      </c>
      <c r="BV30">
        <v>10.177499999999998</v>
      </c>
      <c r="BW30">
        <v>1</v>
      </c>
      <c r="CV30">
        <v>0</v>
      </c>
      <c r="CW30">
        <f>ROUND(Y30*Source!I34*DO30,7)</f>
        <v>0.50887499999999997</v>
      </c>
      <c r="CX30">
        <f>ROUND(Y30*Source!I34,7)</f>
        <v>0.50887499999999997</v>
      </c>
      <c r="CY30">
        <f>AB30</f>
        <v>3802.64</v>
      </c>
      <c r="CZ30">
        <f>AF30</f>
        <v>2391.6</v>
      </c>
      <c r="DA30">
        <f>AJ30</f>
        <v>1.59</v>
      </c>
      <c r="DB30">
        <f>ROUND((ROUND(AT30*CZ30,2)*ROUND(((0.15+1)*1.25),7)),6)</f>
        <v>24340.511875</v>
      </c>
      <c r="DC30">
        <f>ROUND((ROUND(AT30*AG30,2)*ROUND(((0.15+1)*1.25),7)),6)</f>
        <v>5385.0187500000002</v>
      </c>
      <c r="DD30" t="s">
        <v>3</v>
      </c>
      <c r="DE30" t="s">
        <v>3</v>
      </c>
      <c r="DF30">
        <f t="shared" si="8"/>
        <v>0</v>
      </c>
      <c r="DG30">
        <f>ROUND(ROUND(AF30*AJ30,2)*CX30,2)</f>
        <v>1935.07</v>
      </c>
      <c r="DH30">
        <f t="shared" si="3"/>
        <v>269.25</v>
      </c>
      <c r="DI30">
        <f t="shared" si="4"/>
        <v>0</v>
      </c>
      <c r="DJ30">
        <f>DG30+DH30</f>
        <v>2204.3199999999997</v>
      </c>
      <c r="DK30">
        <v>0</v>
      </c>
      <c r="DL30" t="s">
        <v>280</v>
      </c>
      <c r="DM30">
        <v>6</v>
      </c>
      <c r="DN30" t="s">
        <v>271</v>
      </c>
      <c r="DO30">
        <v>1</v>
      </c>
    </row>
    <row r="31" spans="1:119">
      <c r="A31">
        <f>ROW(Source!A34)</f>
        <v>34</v>
      </c>
      <c r="B31">
        <v>46261364</v>
      </c>
      <c r="C31">
        <v>46261183</v>
      </c>
      <c r="D31">
        <v>39600770</v>
      </c>
      <c r="E31">
        <v>1</v>
      </c>
      <c r="F31">
        <v>1</v>
      </c>
      <c r="G31">
        <v>1</v>
      </c>
      <c r="H31">
        <v>2</v>
      </c>
      <c r="I31" t="s">
        <v>336</v>
      </c>
      <c r="J31" t="s">
        <v>337</v>
      </c>
      <c r="K31" t="s">
        <v>338</v>
      </c>
      <c r="L31">
        <v>1368</v>
      </c>
      <c r="N31">
        <v>1011</v>
      </c>
      <c r="O31" t="s">
        <v>279</v>
      </c>
      <c r="P31" t="s">
        <v>279</v>
      </c>
      <c r="Q31">
        <v>1</v>
      </c>
      <c r="W31">
        <v>0</v>
      </c>
      <c r="X31">
        <v>-446833333</v>
      </c>
      <c r="Y31">
        <f>(AT31*ROUND(((0.15+1)*1.25),7))</f>
        <v>1.06375</v>
      </c>
      <c r="AA31">
        <v>0</v>
      </c>
      <c r="AB31">
        <v>1471.1</v>
      </c>
      <c r="AC31">
        <v>393.89</v>
      </c>
      <c r="AD31">
        <v>0</v>
      </c>
      <c r="AE31">
        <v>0</v>
      </c>
      <c r="AF31">
        <v>1471.1</v>
      </c>
      <c r="AG31">
        <v>393.89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-2</v>
      </c>
      <c r="AN31">
        <v>0</v>
      </c>
      <c r="AO31">
        <v>0</v>
      </c>
      <c r="AP31">
        <v>1</v>
      </c>
      <c r="AQ31">
        <v>1</v>
      </c>
      <c r="AR31">
        <v>0</v>
      </c>
      <c r="AS31" t="s">
        <v>3</v>
      </c>
      <c r="AT31">
        <v>0.74</v>
      </c>
      <c r="AU31" t="s">
        <v>81</v>
      </c>
      <c r="AV31">
        <v>1</v>
      </c>
      <c r="AW31">
        <v>2</v>
      </c>
      <c r="AX31">
        <v>46261197</v>
      </c>
      <c r="AY31">
        <v>2</v>
      </c>
      <c r="AZ31">
        <v>98304</v>
      </c>
      <c r="BA31">
        <v>32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1088.614</v>
      </c>
      <c r="BL31">
        <v>291.47859999999997</v>
      </c>
      <c r="BM31">
        <v>0</v>
      </c>
      <c r="BN31">
        <v>0</v>
      </c>
      <c r="BO31">
        <v>0.74</v>
      </c>
      <c r="BP31">
        <v>1</v>
      </c>
      <c r="BQ31">
        <v>0</v>
      </c>
      <c r="BR31">
        <v>1564.882625</v>
      </c>
      <c r="BS31">
        <v>419.00048749999996</v>
      </c>
      <c r="BT31">
        <v>0</v>
      </c>
      <c r="BU31">
        <v>0</v>
      </c>
      <c r="BV31">
        <v>1.06375</v>
      </c>
      <c r="BW31">
        <v>1</v>
      </c>
      <c r="CV31">
        <v>0</v>
      </c>
      <c r="CW31">
        <f>ROUND(Y31*Source!I34*DO31,7)</f>
        <v>5.3187499999999999E-2</v>
      </c>
      <c r="CX31">
        <f>ROUND(Y31*Source!I34,7)</f>
        <v>5.3187499999999999E-2</v>
      </c>
      <c r="CY31">
        <f>AB31</f>
        <v>1471.1</v>
      </c>
      <c r="CZ31">
        <f>AF31</f>
        <v>1471.1</v>
      </c>
      <c r="DA31">
        <f>AJ31</f>
        <v>1</v>
      </c>
      <c r="DB31">
        <f>ROUND((ROUND(AT31*CZ31,2)*ROUND(((0.15+1)*1.25),7)),6)</f>
        <v>1564.8768749999999</v>
      </c>
      <c r="DC31">
        <f>ROUND((ROUND(AT31*AG31,2)*ROUND(((0.15+1)*1.25),7)),6)</f>
        <v>419.0025</v>
      </c>
      <c r="DD31" t="s">
        <v>3</v>
      </c>
      <c r="DE31" t="s">
        <v>3</v>
      </c>
      <c r="DF31">
        <f t="shared" si="8"/>
        <v>0</v>
      </c>
      <c r="DG31">
        <f t="shared" ref="DG31:DG46" si="9">ROUND(ROUND(AF31,2)*CX31,2)</f>
        <v>78.239999999999995</v>
      </c>
      <c r="DH31">
        <f t="shared" si="3"/>
        <v>20.95</v>
      </c>
      <c r="DI31">
        <f t="shared" si="4"/>
        <v>0</v>
      </c>
      <c r="DJ31">
        <f>DG31+DH31</f>
        <v>99.19</v>
      </c>
      <c r="DK31">
        <v>1</v>
      </c>
      <c r="DL31" t="s">
        <v>295</v>
      </c>
      <c r="DM31">
        <v>4</v>
      </c>
      <c r="DN31" t="s">
        <v>271</v>
      </c>
      <c r="DO31">
        <v>1</v>
      </c>
    </row>
    <row r="32" spans="1:119">
      <c r="A32">
        <f>ROW(Source!A34)</f>
        <v>34</v>
      </c>
      <c r="B32">
        <v>46261364</v>
      </c>
      <c r="C32">
        <v>46261183</v>
      </c>
      <c r="D32">
        <v>39548491</v>
      </c>
      <c r="E32">
        <v>1</v>
      </c>
      <c r="F32">
        <v>1</v>
      </c>
      <c r="G32">
        <v>1</v>
      </c>
      <c r="H32">
        <v>3</v>
      </c>
      <c r="I32" t="s">
        <v>307</v>
      </c>
      <c r="J32" t="s">
        <v>308</v>
      </c>
      <c r="K32" t="s">
        <v>309</v>
      </c>
      <c r="L32">
        <v>1339</v>
      </c>
      <c r="N32">
        <v>1007</v>
      </c>
      <c r="O32" t="s">
        <v>75</v>
      </c>
      <c r="P32" t="s">
        <v>75</v>
      </c>
      <c r="Q32">
        <v>1</v>
      </c>
      <c r="W32">
        <v>0</v>
      </c>
      <c r="X32">
        <v>593551466</v>
      </c>
      <c r="Y32">
        <f>AT32</f>
        <v>5</v>
      </c>
      <c r="AA32">
        <v>31.42</v>
      </c>
      <c r="AB32">
        <v>0</v>
      </c>
      <c r="AC32">
        <v>0</v>
      </c>
      <c r="AD32">
        <v>0</v>
      </c>
      <c r="AE32">
        <v>35.71</v>
      </c>
      <c r="AF32">
        <v>0</v>
      </c>
      <c r="AG32">
        <v>0</v>
      </c>
      <c r="AH32">
        <v>0</v>
      </c>
      <c r="AI32">
        <v>0.88</v>
      </c>
      <c r="AJ32">
        <v>1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1</v>
      </c>
      <c r="AQ32">
        <v>1</v>
      </c>
      <c r="AR32">
        <v>0</v>
      </c>
      <c r="AS32" t="s">
        <v>3</v>
      </c>
      <c r="AT32">
        <v>5</v>
      </c>
      <c r="AU32" t="s">
        <v>3</v>
      </c>
      <c r="AV32">
        <v>0</v>
      </c>
      <c r="AW32">
        <v>2</v>
      </c>
      <c r="AX32">
        <v>46261198</v>
      </c>
      <c r="AY32">
        <v>1</v>
      </c>
      <c r="AZ32">
        <v>0</v>
      </c>
      <c r="BA32">
        <v>33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178.55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178.55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CV32">
        <v>0</v>
      </c>
      <c r="CW32">
        <v>0</v>
      </c>
      <c r="CX32">
        <f>ROUND(Y32*Source!I34,7)</f>
        <v>0.25</v>
      </c>
      <c r="CY32">
        <f>AA32</f>
        <v>31.42</v>
      </c>
      <c r="CZ32">
        <f>AE32</f>
        <v>35.71</v>
      </c>
      <c r="DA32">
        <f>AI32</f>
        <v>0.88</v>
      </c>
      <c r="DB32">
        <f>ROUND(ROUND(AT32*CZ32,2),6)</f>
        <v>178.55</v>
      </c>
      <c r="DC32">
        <f>ROUND(ROUND(AT32*AG32,2),6)</f>
        <v>0</v>
      </c>
      <c r="DD32" t="s">
        <v>3</v>
      </c>
      <c r="DE32" t="s">
        <v>3</v>
      </c>
      <c r="DF32">
        <f>ROUND(ROUND(AE32*AI32,2)*CX32,2)</f>
        <v>7.86</v>
      </c>
      <c r="DG32">
        <f t="shared" si="9"/>
        <v>0</v>
      </c>
      <c r="DH32">
        <f t="shared" si="3"/>
        <v>0</v>
      </c>
      <c r="DI32">
        <f t="shared" si="4"/>
        <v>0</v>
      </c>
      <c r="DJ32">
        <f>DF32</f>
        <v>7.86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>
      <c r="A33">
        <f>ROW(Source!A34)</f>
        <v>34</v>
      </c>
      <c r="B33">
        <v>46261364</v>
      </c>
      <c r="C33">
        <v>46261183</v>
      </c>
      <c r="D33">
        <v>39551630</v>
      </c>
      <c r="E33">
        <v>1</v>
      </c>
      <c r="F33">
        <v>1</v>
      </c>
      <c r="G33">
        <v>1</v>
      </c>
      <c r="H33">
        <v>3</v>
      </c>
      <c r="I33" t="s">
        <v>106</v>
      </c>
      <c r="J33" t="s">
        <v>108</v>
      </c>
      <c r="K33" t="s">
        <v>107</v>
      </c>
      <c r="L33">
        <v>1339</v>
      </c>
      <c r="N33">
        <v>1007</v>
      </c>
      <c r="O33" t="s">
        <v>75</v>
      </c>
      <c r="P33" t="s">
        <v>75</v>
      </c>
      <c r="Q33">
        <v>1</v>
      </c>
      <c r="W33">
        <v>0</v>
      </c>
      <c r="X33">
        <v>-1999093471</v>
      </c>
      <c r="Y33">
        <f>AT33</f>
        <v>100</v>
      </c>
      <c r="AA33">
        <v>2006.46</v>
      </c>
      <c r="AB33">
        <v>0</v>
      </c>
      <c r="AC33">
        <v>0</v>
      </c>
      <c r="AD33">
        <v>0</v>
      </c>
      <c r="AE33">
        <v>565.20000000000005</v>
      </c>
      <c r="AF33">
        <v>0</v>
      </c>
      <c r="AG33">
        <v>0</v>
      </c>
      <c r="AH33">
        <v>0</v>
      </c>
      <c r="AI33">
        <v>3.55</v>
      </c>
      <c r="AJ33">
        <v>1</v>
      </c>
      <c r="AK33">
        <v>1</v>
      </c>
      <c r="AL33">
        <v>1</v>
      </c>
      <c r="AM33">
        <v>2</v>
      </c>
      <c r="AN33">
        <v>0</v>
      </c>
      <c r="AO33">
        <v>0</v>
      </c>
      <c r="AP33">
        <v>1</v>
      </c>
      <c r="AQ33">
        <v>0</v>
      </c>
      <c r="AR33">
        <v>0</v>
      </c>
      <c r="AS33" t="s">
        <v>3</v>
      </c>
      <c r="AT33">
        <v>100</v>
      </c>
      <c r="AU33" t="s">
        <v>3</v>
      </c>
      <c r="AV33">
        <v>0</v>
      </c>
      <c r="AW33">
        <v>1</v>
      </c>
      <c r="AX33">
        <v>-1</v>
      </c>
      <c r="AY33">
        <v>0</v>
      </c>
      <c r="AZ33">
        <v>0</v>
      </c>
      <c r="BA33" t="s">
        <v>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ROUND(Y33*Source!I34,7)</f>
        <v>5</v>
      </c>
      <c r="CY33">
        <f>AA33</f>
        <v>2006.46</v>
      </c>
      <c r="CZ33">
        <f>AE33</f>
        <v>565.20000000000005</v>
      </c>
      <c r="DA33">
        <f>AI33</f>
        <v>3.55</v>
      </c>
      <c r="DB33">
        <f>ROUND(ROUND(AT33*CZ33,2),6)</f>
        <v>56520</v>
      </c>
      <c r="DC33">
        <f>ROUND(ROUND(AT33*AG33,2),6)</f>
        <v>0</v>
      </c>
      <c r="DD33" t="s">
        <v>3</v>
      </c>
      <c r="DE33" t="s">
        <v>3</v>
      </c>
      <c r="DF33">
        <f>ROUND(ROUND(AE33*AI33,2)*CX33,2)</f>
        <v>10032.299999999999</v>
      </c>
      <c r="DG33">
        <f t="shared" si="9"/>
        <v>0</v>
      </c>
      <c r="DH33">
        <f t="shared" ref="DH33:DH51" si="10">ROUND(ROUND(AG33,2)*CX33,2)</f>
        <v>0</v>
      </c>
      <c r="DI33">
        <f t="shared" ref="DI33:DI51" si="11">ROUND(ROUND(AH33,2)*CX33,2)</f>
        <v>0</v>
      </c>
      <c r="DJ33">
        <f>DF33</f>
        <v>10032.299999999999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>
      <c r="A34">
        <f>ROW(Source!A36)</f>
        <v>36</v>
      </c>
      <c r="B34">
        <v>46261364</v>
      </c>
      <c r="C34">
        <v>46261201</v>
      </c>
      <c r="D34">
        <v>39474941</v>
      </c>
      <c r="E34">
        <v>116</v>
      </c>
      <c r="F34">
        <v>1</v>
      </c>
      <c r="G34">
        <v>1</v>
      </c>
      <c r="H34">
        <v>1</v>
      </c>
      <c r="I34" t="s">
        <v>269</v>
      </c>
      <c r="J34" t="s">
        <v>3</v>
      </c>
      <c r="K34" t="s">
        <v>270</v>
      </c>
      <c r="L34">
        <v>1191</v>
      </c>
      <c r="N34">
        <v>1013</v>
      </c>
      <c r="O34" t="s">
        <v>271</v>
      </c>
      <c r="P34" t="s">
        <v>271</v>
      </c>
      <c r="Q34">
        <v>1</v>
      </c>
      <c r="W34">
        <v>0</v>
      </c>
      <c r="X34">
        <v>-1991603921</v>
      </c>
      <c r="Y34">
        <f>(AT34*ROUND(((0.15+1)*1.15),7))</f>
        <v>170.0735</v>
      </c>
      <c r="AA34">
        <v>0</v>
      </c>
      <c r="AB34">
        <v>0</v>
      </c>
      <c r="AC34">
        <v>0</v>
      </c>
      <c r="AD34">
        <v>335.1</v>
      </c>
      <c r="AE34">
        <v>0</v>
      </c>
      <c r="AF34">
        <v>0</v>
      </c>
      <c r="AG34">
        <v>0</v>
      </c>
      <c r="AH34">
        <v>335.1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0</v>
      </c>
      <c r="AP34">
        <v>1</v>
      </c>
      <c r="AQ34">
        <v>1</v>
      </c>
      <c r="AR34">
        <v>0</v>
      </c>
      <c r="AS34" t="s">
        <v>3</v>
      </c>
      <c r="AT34">
        <v>128.6</v>
      </c>
      <c r="AU34" t="s">
        <v>82</v>
      </c>
      <c r="AV34">
        <v>1</v>
      </c>
      <c r="AW34">
        <v>2</v>
      </c>
      <c r="AX34">
        <v>46261206</v>
      </c>
      <c r="AY34">
        <v>2</v>
      </c>
      <c r="AZ34">
        <v>131072</v>
      </c>
      <c r="BA34">
        <v>35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43093.86</v>
      </c>
      <c r="BN34">
        <v>128.6</v>
      </c>
      <c r="BO34">
        <v>0</v>
      </c>
      <c r="BP34">
        <v>1</v>
      </c>
      <c r="BQ34">
        <v>0</v>
      </c>
      <c r="BR34">
        <v>0</v>
      </c>
      <c r="BS34">
        <v>0</v>
      </c>
      <c r="BT34">
        <v>56991.62984999999</v>
      </c>
      <c r="BU34">
        <v>170.07349999999997</v>
      </c>
      <c r="BV34">
        <v>0</v>
      </c>
      <c r="BW34">
        <v>1</v>
      </c>
      <c r="CU34">
        <f>ROUND(AT34*Source!I36*AH34*AL34,2)</f>
        <v>2154.69</v>
      </c>
      <c r="CV34">
        <f>ROUND(Y34*Source!I36,7)</f>
        <v>8.5036749999999994</v>
      </c>
      <c r="CW34">
        <v>0</v>
      </c>
      <c r="CX34">
        <f>ROUND(Y34*Source!I36,7)</f>
        <v>8.5036749999999994</v>
      </c>
      <c r="CY34">
        <f>AD34</f>
        <v>335.1</v>
      </c>
      <c r="CZ34">
        <f>AH34</f>
        <v>335.1</v>
      </c>
      <c r="DA34">
        <f>AL34</f>
        <v>1</v>
      </c>
      <c r="DB34">
        <f>ROUND((ROUND(AT34*CZ34,2)*ROUND(((0.15+1)*1.15),7)),6)</f>
        <v>56991.629849999998</v>
      </c>
      <c r="DC34">
        <f>ROUND((ROUND(AT34*AG34,2)*ROUND(((0.15+1)*1.15),7)),6)</f>
        <v>0</v>
      </c>
      <c r="DD34" t="s">
        <v>3</v>
      </c>
      <c r="DE34" t="s">
        <v>3</v>
      </c>
      <c r="DF34">
        <f>ROUND(ROUND(AE34,2)*CX34,2)</f>
        <v>0</v>
      </c>
      <c r="DG34">
        <f t="shared" si="9"/>
        <v>0</v>
      </c>
      <c r="DH34">
        <f t="shared" si="10"/>
        <v>0</v>
      </c>
      <c r="DI34">
        <f t="shared" si="11"/>
        <v>2849.58</v>
      </c>
      <c r="DJ34">
        <f>DI34</f>
        <v>2849.58</v>
      </c>
      <c r="DK34">
        <v>1</v>
      </c>
      <c r="DL34" t="s">
        <v>3</v>
      </c>
      <c r="DM34">
        <v>0</v>
      </c>
      <c r="DN34" t="s">
        <v>3</v>
      </c>
      <c r="DO34">
        <v>0</v>
      </c>
    </row>
    <row r="35" spans="1:119">
      <c r="A35">
        <f>ROW(Source!A36)</f>
        <v>36</v>
      </c>
      <c r="B35">
        <v>46261364</v>
      </c>
      <c r="C35">
        <v>46261201</v>
      </c>
      <c r="D35">
        <v>39475155</v>
      </c>
      <c r="E35">
        <v>116</v>
      </c>
      <c r="F35">
        <v>1</v>
      </c>
      <c r="G35">
        <v>1</v>
      </c>
      <c r="H35">
        <v>1</v>
      </c>
      <c r="I35" t="s">
        <v>274</v>
      </c>
      <c r="J35" t="s">
        <v>3</v>
      </c>
      <c r="K35" t="s">
        <v>275</v>
      </c>
      <c r="L35">
        <v>1191</v>
      </c>
      <c r="N35">
        <v>1013</v>
      </c>
      <c r="O35" t="s">
        <v>271</v>
      </c>
      <c r="P35" t="s">
        <v>271</v>
      </c>
      <c r="Q35">
        <v>1</v>
      </c>
      <c r="W35">
        <v>0</v>
      </c>
      <c r="X35">
        <v>-1417349443</v>
      </c>
      <c r="Y35">
        <f>(AT35*ROUND(((0.15+1)*1.25),7))</f>
        <v>6.6124999999999998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0</v>
      </c>
      <c r="AP35">
        <v>1</v>
      </c>
      <c r="AQ35">
        <v>1</v>
      </c>
      <c r="AR35">
        <v>0</v>
      </c>
      <c r="AS35" t="s">
        <v>3</v>
      </c>
      <c r="AT35">
        <v>4.5999999999999996</v>
      </c>
      <c r="AU35" t="s">
        <v>81</v>
      </c>
      <c r="AV35">
        <v>2</v>
      </c>
      <c r="AW35">
        <v>2</v>
      </c>
      <c r="AX35">
        <v>46261207</v>
      </c>
      <c r="AY35">
        <v>1</v>
      </c>
      <c r="AZ35">
        <v>0</v>
      </c>
      <c r="BA35">
        <v>36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V35">
        <v>0</v>
      </c>
      <c r="CW35">
        <v>0</v>
      </c>
      <c r="CX35">
        <f>ROUND(Y35*Source!I36,7)</f>
        <v>0.330625</v>
      </c>
      <c r="CY35">
        <f>AD35</f>
        <v>0</v>
      </c>
      <c r="CZ35">
        <f>AH35</f>
        <v>0</v>
      </c>
      <c r="DA35">
        <f>AL35</f>
        <v>1</v>
      </c>
      <c r="DB35">
        <f>ROUND((ROUND(AT35*CZ35,2)*ROUND(((0.15+1)*1.25),7)),6)</f>
        <v>0</v>
      </c>
      <c r="DC35">
        <f>ROUND((ROUND(AT35*AG35,2)*ROUND(((0.15+1)*1.25),7)),6)</f>
        <v>0</v>
      </c>
      <c r="DD35" t="s">
        <v>3</v>
      </c>
      <c r="DE35" t="s">
        <v>3</v>
      </c>
      <c r="DF35">
        <f>ROUND(ROUND(AE35,2)*CX35,2)</f>
        <v>0</v>
      </c>
      <c r="DG35">
        <f t="shared" si="9"/>
        <v>0</v>
      </c>
      <c r="DH35">
        <f t="shared" si="10"/>
        <v>0</v>
      </c>
      <c r="DI35">
        <f t="shared" si="11"/>
        <v>0</v>
      </c>
      <c r="DJ35">
        <f>DI35</f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>
      <c r="A36">
        <f>ROW(Source!A36)</f>
        <v>36</v>
      </c>
      <c r="B36">
        <v>46261364</v>
      </c>
      <c r="C36">
        <v>46261201</v>
      </c>
      <c r="D36">
        <v>39600822</v>
      </c>
      <c r="E36">
        <v>1</v>
      </c>
      <c r="F36">
        <v>1</v>
      </c>
      <c r="G36">
        <v>1</v>
      </c>
      <c r="H36">
        <v>2</v>
      </c>
      <c r="I36" t="s">
        <v>315</v>
      </c>
      <c r="J36" t="s">
        <v>316</v>
      </c>
      <c r="K36" t="s">
        <v>317</v>
      </c>
      <c r="L36">
        <v>1368</v>
      </c>
      <c r="N36">
        <v>1011</v>
      </c>
      <c r="O36" t="s">
        <v>279</v>
      </c>
      <c r="P36" t="s">
        <v>279</v>
      </c>
      <c r="Q36">
        <v>1</v>
      </c>
      <c r="W36">
        <v>0</v>
      </c>
      <c r="X36">
        <v>-950105757</v>
      </c>
      <c r="Y36">
        <f>(AT36*ROUND(((0.15+1)*1.25),7))</f>
        <v>6.6124999999999998</v>
      </c>
      <c r="AA36">
        <v>0</v>
      </c>
      <c r="AB36">
        <v>579.09</v>
      </c>
      <c r="AC36">
        <v>393.89</v>
      </c>
      <c r="AD36">
        <v>0</v>
      </c>
      <c r="AE36">
        <v>0</v>
      </c>
      <c r="AF36">
        <v>579.09</v>
      </c>
      <c r="AG36">
        <v>393.89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-2</v>
      </c>
      <c r="AN36">
        <v>0</v>
      </c>
      <c r="AO36">
        <v>0</v>
      </c>
      <c r="AP36">
        <v>1</v>
      </c>
      <c r="AQ36">
        <v>1</v>
      </c>
      <c r="AR36">
        <v>0</v>
      </c>
      <c r="AS36" t="s">
        <v>3</v>
      </c>
      <c r="AT36">
        <v>4.5999999999999996</v>
      </c>
      <c r="AU36" t="s">
        <v>81</v>
      </c>
      <c r="AV36">
        <v>1</v>
      </c>
      <c r="AW36">
        <v>2</v>
      </c>
      <c r="AX36">
        <v>46261208</v>
      </c>
      <c r="AY36">
        <v>2</v>
      </c>
      <c r="AZ36">
        <v>98304</v>
      </c>
      <c r="BA36">
        <v>37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2663.8139999999999</v>
      </c>
      <c r="BL36">
        <v>1811.8939999999998</v>
      </c>
      <c r="BM36">
        <v>0</v>
      </c>
      <c r="BN36">
        <v>0</v>
      </c>
      <c r="BO36">
        <v>4.5999999999999996</v>
      </c>
      <c r="BP36">
        <v>1</v>
      </c>
      <c r="BQ36">
        <v>0</v>
      </c>
      <c r="BR36">
        <v>3829.2326249999996</v>
      </c>
      <c r="BS36">
        <v>2604.5976249999994</v>
      </c>
      <c r="BT36">
        <v>0</v>
      </c>
      <c r="BU36">
        <v>0</v>
      </c>
      <c r="BV36">
        <v>6.6124999999999989</v>
      </c>
      <c r="BW36">
        <v>1</v>
      </c>
      <c r="CV36">
        <v>0</v>
      </c>
      <c r="CW36">
        <f>ROUND(Y36*Source!I36*DO36,7)</f>
        <v>0.330625</v>
      </c>
      <c r="CX36">
        <f>ROUND(Y36*Source!I36,7)</f>
        <v>0.330625</v>
      </c>
      <c r="CY36">
        <f>AB36</f>
        <v>579.09</v>
      </c>
      <c r="CZ36">
        <f>AF36</f>
        <v>579.09</v>
      </c>
      <c r="DA36">
        <f>AJ36</f>
        <v>1</v>
      </c>
      <c r="DB36">
        <f>ROUND((ROUND(AT36*CZ36,2)*ROUND(((0.15+1)*1.25),7)),6)</f>
        <v>3829.2268749999998</v>
      </c>
      <c r="DC36">
        <f>ROUND((ROUND(AT36*AG36,2)*ROUND(((0.15+1)*1.25),7)),6)</f>
        <v>2604.5918750000001</v>
      </c>
      <c r="DD36" t="s">
        <v>3</v>
      </c>
      <c r="DE36" t="s">
        <v>3</v>
      </c>
      <c r="DF36">
        <f>ROUND(ROUND(AE36,2)*CX36,2)</f>
        <v>0</v>
      </c>
      <c r="DG36">
        <f t="shared" si="9"/>
        <v>191.46</v>
      </c>
      <c r="DH36">
        <f t="shared" si="10"/>
        <v>130.22999999999999</v>
      </c>
      <c r="DI36">
        <f t="shared" si="11"/>
        <v>0</v>
      </c>
      <c r="DJ36">
        <f>DG36+DH36</f>
        <v>321.69</v>
      </c>
      <c r="DK36">
        <v>1</v>
      </c>
      <c r="DL36" t="s">
        <v>295</v>
      </c>
      <c r="DM36">
        <v>4</v>
      </c>
      <c r="DN36" t="s">
        <v>271</v>
      </c>
      <c r="DO36">
        <v>1</v>
      </c>
    </row>
    <row r="37" spans="1:119">
      <c r="A37">
        <f>ROW(Source!A36)</f>
        <v>36</v>
      </c>
      <c r="B37">
        <v>46261364</v>
      </c>
      <c r="C37">
        <v>46261201</v>
      </c>
      <c r="D37">
        <v>39562256</v>
      </c>
      <c r="E37">
        <v>1</v>
      </c>
      <c r="F37">
        <v>1</v>
      </c>
      <c r="G37">
        <v>1</v>
      </c>
      <c r="H37">
        <v>3</v>
      </c>
      <c r="I37" t="s">
        <v>114</v>
      </c>
      <c r="J37" t="s">
        <v>116</v>
      </c>
      <c r="K37" t="s">
        <v>115</v>
      </c>
      <c r="L37">
        <v>1339</v>
      </c>
      <c r="N37">
        <v>1007</v>
      </c>
      <c r="O37" t="s">
        <v>75</v>
      </c>
      <c r="P37" t="s">
        <v>75</v>
      </c>
      <c r="Q37">
        <v>1</v>
      </c>
      <c r="W37">
        <v>0</v>
      </c>
      <c r="X37">
        <v>-644495519</v>
      </c>
      <c r="Y37">
        <f>AT37</f>
        <v>100</v>
      </c>
      <c r="AA37">
        <v>7493.36</v>
      </c>
      <c r="AB37">
        <v>0</v>
      </c>
      <c r="AC37">
        <v>0</v>
      </c>
      <c r="AD37">
        <v>0</v>
      </c>
      <c r="AE37">
        <v>5240.1099999999997</v>
      </c>
      <c r="AF37">
        <v>0</v>
      </c>
      <c r="AG37">
        <v>0</v>
      </c>
      <c r="AH37">
        <v>0</v>
      </c>
      <c r="AI37">
        <v>1.43</v>
      </c>
      <c r="AJ37">
        <v>1</v>
      </c>
      <c r="AK37">
        <v>1</v>
      </c>
      <c r="AL37">
        <v>1</v>
      </c>
      <c r="AM37">
        <v>2</v>
      </c>
      <c r="AN37">
        <v>0</v>
      </c>
      <c r="AO37">
        <v>0</v>
      </c>
      <c r="AP37">
        <v>1</v>
      </c>
      <c r="AQ37">
        <v>0</v>
      </c>
      <c r="AR37">
        <v>0</v>
      </c>
      <c r="AS37" t="s">
        <v>3</v>
      </c>
      <c r="AT37">
        <v>100</v>
      </c>
      <c r="AU37" t="s">
        <v>3</v>
      </c>
      <c r="AV37">
        <v>0</v>
      </c>
      <c r="AW37">
        <v>1</v>
      </c>
      <c r="AX37">
        <v>-1</v>
      </c>
      <c r="AY37">
        <v>0</v>
      </c>
      <c r="AZ37">
        <v>0</v>
      </c>
      <c r="BA37" t="s">
        <v>3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ROUND(Y37*Source!I36,7)</f>
        <v>5</v>
      </c>
      <c r="CY37">
        <f>AA37</f>
        <v>7493.36</v>
      </c>
      <c r="CZ37">
        <f>AE37</f>
        <v>5240.1099999999997</v>
      </c>
      <c r="DA37">
        <f>AI37</f>
        <v>1.43</v>
      </c>
      <c r="DB37">
        <f>ROUND(ROUND(AT37*CZ37,2),6)</f>
        <v>524011</v>
      </c>
      <c r="DC37">
        <f>ROUND(ROUND(AT37*AG37,2),6)</f>
        <v>0</v>
      </c>
      <c r="DD37" t="s">
        <v>3</v>
      </c>
      <c r="DE37" t="s">
        <v>3</v>
      </c>
      <c r="DF37">
        <f>ROUND(ROUND(AE37*AI37,2)*CX37,2)</f>
        <v>37466.800000000003</v>
      </c>
      <c r="DG37">
        <f t="shared" si="9"/>
        <v>0</v>
      </c>
      <c r="DH37">
        <f t="shared" si="10"/>
        <v>0</v>
      </c>
      <c r="DI37">
        <f t="shared" si="11"/>
        <v>0</v>
      </c>
      <c r="DJ37">
        <f>DF37</f>
        <v>37466.800000000003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>
      <c r="A38">
        <f>ROW(Source!A38)</f>
        <v>38</v>
      </c>
      <c r="B38">
        <v>46261364</v>
      </c>
      <c r="C38">
        <v>46261212</v>
      </c>
      <c r="D38">
        <v>39474965</v>
      </c>
      <c r="E38">
        <v>116</v>
      </c>
      <c r="F38">
        <v>1</v>
      </c>
      <c r="G38">
        <v>1</v>
      </c>
      <c r="H38">
        <v>1</v>
      </c>
      <c r="I38" t="s">
        <v>339</v>
      </c>
      <c r="J38" t="s">
        <v>3</v>
      </c>
      <c r="K38" t="s">
        <v>340</v>
      </c>
      <c r="L38">
        <v>1191</v>
      </c>
      <c r="N38">
        <v>1013</v>
      </c>
      <c r="O38" t="s">
        <v>271</v>
      </c>
      <c r="P38" t="s">
        <v>271</v>
      </c>
      <c r="Q38">
        <v>1</v>
      </c>
      <c r="W38">
        <v>0</v>
      </c>
      <c r="X38">
        <v>32079103</v>
      </c>
      <c r="Y38">
        <f>(AT38*ROUND(((0.15+1)*1.15),7))</f>
        <v>15.340999999999999</v>
      </c>
      <c r="AA38">
        <v>0</v>
      </c>
      <c r="AB38">
        <v>0</v>
      </c>
      <c r="AC38">
        <v>0</v>
      </c>
      <c r="AD38">
        <v>363.03</v>
      </c>
      <c r="AE38">
        <v>0</v>
      </c>
      <c r="AF38">
        <v>0</v>
      </c>
      <c r="AG38">
        <v>0</v>
      </c>
      <c r="AH38">
        <v>363.03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1</v>
      </c>
      <c r="AQ38">
        <v>1</v>
      </c>
      <c r="AR38">
        <v>0</v>
      </c>
      <c r="AS38" t="s">
        <v>3</v>
      </c>
      <c r="AT38">
        <v>11.6</v>
      </c>
      <c r="AU38" t="s">
        <v>82</v>
      </c>
      <c r="AV38">
        <v>1</v>
      </c>
      <c r="AW38">
        <v>2</v>
      </c>
      <c r="AX38">
        <v>46261219</v>
      </c>
      <c r="AY38">
        <v>2</v>
      </c>
      <c r="AZ38">
        <v>131072</v>
      </c>
      <c r="BA38">
        <v>40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4211.1479999999992</v>
      </c>
      <c r="BN38">
        <v>11.6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5569.2432299999982</v>
      </c>
      <c r="BU38">
        <v>15.340999999999996</v>
      </c>
      <c r="BV38">
        <v>0</v>
      </c>
      <c r="BW38">
        <v>1</v>
      </c>
      <c r="CU38">
        <f>ROUND(AT38*Source!I38*AH38*AL38,2)</f>
        <v>430.38</v>
      </c>
      <c r="CV38">
        <f>ROUND(Y38*Source!I38,7)</f>
        <v>1.5678502000000001</v>
      </c>
      <c r="CW38">
        <v>0</v>
      </c>
      <c r="CX38">
        <f>ROUND(Y38*Source!I38,7)</f>
        <v>1.5678502000000001</v>
      </c>
      <c r="CY38">
        <f>AD38</f>
        <v>363.03</v>
      </c>
      <c r="CZ38">
        <f>AH38</f>
        <v>363.03</v>
      </c>
      <c r="DA38">
        <f>AL38</f>
        <v>1</v>
      </c>
      <c r="DB38">
        <f>ROUND((ROUND(AT38*CZ38,2)*ROUND(((0.15+1)*1.15),7)),6)</f>
        <v>5569.2458749999996</v>
      </c>
      <c r="DC38">
        <f>ROUND((ROUND(AT38*AG38,2)*ROUND(((0.15+1)*1.15),7)),6)</f>
        <v>0</v>
      </c>
      <c r="DD38" t="s">
        <v>3</v>
      </c>
      <c r="DE38" t="s">
        <v>3</v>
      </c>
      <c r="DF38">
        <f>ROUND(ROUND(AE38,2)*CX38,2)</f>
        <v>0</v>
      </c>
      <c r="DG38">
        <f t="shared" si="9"/>
        <v>0</v>
      </c>
      <c r="DH38">
        <f t="shared" si="10"/>
        <v>0</v>
      </c>
      <c r="DI38">
        <f t="shared" si="11"/>
        <v>569.17999999999995</v>
      </c>
      <c r="DJ38">
        <f>DI38</f>
        <v>569.17999999999995</v>
      </c>
      <c r="DK38">
        <v>1</v>
      </c>
      <c r="DL38" t="s">
        <v>3</v>
      </c>
      <c r="DM38">
        <v>0</v>
      </c>
      <c r="DN38" t="s">
        <v>3</v>
      </c>
      <c r="DO38">
        <v>0</v>
      </c>
    </row>
    <row r="39" spans="1:119">
      <c r="A39">
        <f>ROW(Source!A38)</f>
        <v>38</v>
      </c>
      <c r="B39">
        <v>46261364</v>
      </c>
      <c r="C39">
        <v>46261212</v>
      </c>
      <c r="D39">
        <v>39475155</v>
      </c>
      <c r="E39">
        <v>116</v>
      </c>
      <c r="F39">
        <v>1</v>
      </c>
      <c r="G39">
        <v>1</v>
      </c>
      <c r="H39">
        <v>1</v>
      </c>
      <c r="I39" t="s">
        <v>274</v>
      </c>
      <c r="J39" t="s">
        <v>3</v>
      </c>
      <c r="K39" t="s">
        <v>275</v>
      </c>
      <c r="L39">
        <v>1191</v>
      </c>
      <c r="N39">
        <v>1013</v>
      </c>
      <c r="O39" t="s">
        <v>271</v>
      </c>
      <c r="P39" t="s">
        <v>271</v>
      </c>
      <c r="Q39">
        <v>1</v>
      </c>
      <c r="W39">
        <v>0</v>
      </c>
      <c r="X39">
        <v>-1417349443</v>
      </c>
      <c r="Y39">
        <f>(AT39*ROUND(((0.15+1)*1.25),7))</f>
        <v>0.50312499999999993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0</v>
      </c>
      <c r="AP39">
        <v>1</v>
      </c>
      <c r="AQ39">
        <v>1</v>
      </c>
      <c r="AR39">
        <v>0</v>
      </c>
      <c r="AS39" t="s">
        <v>3</v>
      </c>
      <c r="AT39">
        <v>0.35</v>
      </c>
      <c r="AU39" t="s">
        <v>81</v>
      </c>
      <c r="AV39">
        <v>2</v>
      </c>
      <c r="AW39">
        <v>2</v>
      </c>
      <c r="AX39">
        <v>46261220</v>
      </c>
      <c r="AY39">
        <v>1</v>
      </c>
      <c r="AZ39">
        <v>0</v>
      </c>
      <c r="BA39">
        <v>41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V39">
        <v>0</v>
      </c>
      <c r="CW39">
        <v>0</v>
      </c>
      <c r="CX39">
        <f>ROUND(Y39*Source!I38,7)</f>
        <v>5.1419399999999997E-2</v>
      </c>
      <c r="CY39">
        <f>AD39</f>
        <v>0</v>
      </c>
      <c r="CZ39">
        <f>AH39</f>
        <v>0</v>
      </c>
      <c r="DA39">
        <f>AL39</f>
        <v>1</v>
      </c>
      <c r="DB39">
        <f>ROUND((ROUND(AT39*CZ39,2)*ROUND(((0.15+1)*1.25),7)),6)</f>
        <v>0</v>
      </c>
      <c r="DC39">
        <f>ROUND((ROUND(AT39*AG39,2)*ROUND(((0.15+1)*1.25),7)),6)</f>
        <v>0</v>
      </c>
      <c r="DD39" t="s">
        <v>3</v>
      </c>
      <c r="DE39" t="s">
        <v>3</v>
      </c>
      <c r="DF39">
        <f>ROUND(ROUND(AE39,2)*CX39,2)</f>
        <v>0</v>
      </c>
      <c r="DG39">
        <f t="shared" si="9"/>
        <v>0</v>
      </c>
      <c r="DH39">
        <f t="shared" si="10"/>
        <v>0</v>
      </c>
      <c r="DI39">
        <f t="shared" si="11"/>
        <v>0</v>
      </c>
      <c r="DJ39">
        <f>DI39</f>
        <v>0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>
      <c r="A40">
        <f>ROW(Source!A38)</f>
        <v>38</v>
      </c>
      <c r="B40">
        <v>46261364</v>
      </c>
      <c r="C40">
        <v>46261212</v>
      </c>
      <c r="D40">
        <v>39599917</v>
      </c>
      <c r="E40">
        <v>1</v>
      </c>
      <c r="F40">
        <v>1</v>
      </c>
      <c r="G40">
        <v>1</v>
      </c>
      <c r="H40">
        <v>2</v>
      </c>
      <c r="I40" t="s">
        <v>341</v>
      </c>
      <c r="J40" t="s">
        <v>342</v>
      </c>
      <c r="K40" t="s">
        <v>343</v>
      </c>
      <c r="L40">
        <v>1368</v>
      </c>
      <c r="N40">
        <v>1011</v>
      </c>
      <c r="O40" t="s">
        <v>279</v>
      </c>
      <c r="P40" t="s">
        <v>279</v>
      </c>
      <c r="Q40">
        <v>1</v>
      </c>
      <c r="W40">
        <v>0</v>
      </c>
      <c r="X40">
        <v>850633116</v>
      </c>
      <c r="Y40">
        <f>(AT40*ROUND(((0.15+1)*1.25),7))</f>
        <v>0.21562499999999998</v>
      </c>
      <c r="AA40">
        <v>0</v>
      </c>
      <c r="AB40">
        <v>1682.51</v>
      </c>
      <c r="AC40">
        <v>529.11</v>
      </c>
      <c r="AD40">
        <v>0</v>
      </c>
      <c r="AE40">
        <v>0</v>
      </c>
      <c r="AF40">
        <v>1682.51</v>
      </c>
      <c r="AG40">
        <v>529.11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1</v>
      </c>
      <c r="AQ40">
        <v>1</v>
      </c>
      <c r="AR40">
        <v>0</v>
      </c>
      <c r="AS40" t="s">
        <v>3</v>
      </c>
      <c r="AT40">
        <v>0.15</v>
      </c>
      <c r="AU40" t="s">
        <v>81</v>
      </c>
      <c r="AV40">
        <v>1</v>
      </c>
      <c r="AW40">
        <v>2</v>
      </c>
      <c r="AX40">
        <v>46261221</v>
      </c>
      <c r="AY40">
        <v>2</v>
      </c>
      <c r="AZ40">
        <v>98304</v>
      </c>
      <c r="BA40">
        <v>42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252.37649999999999</v>
      </c>
      <c r="BL40">
        <v>79.366500000000002</v>
      </c>
      <c r="BM40">
        <v>0</v>
      </c>
      <c r="BN40">
        <v>0</v>
      </c>
      <c r="BO40">
        <v>0.15</v>
      </c>
      <c r="BP40">
        <v>1</v>
      </c>
      <c r="BQ40">
        <v>0</v>
      </c>
      <c r="BR40">
        <v>362.79121874999998</v>
      </c>
      <c r="BS40">
        <v>114.08934375</v>
      </c>
      <c r="BT40">
        <v>0</v>
      </c>
      <c r="BU40">
        <v>0</v>
      </c>
      <c r="BV40">
        <v>0.21562499999999998</v>
      </c>
      <c r="BW40">
        <v>1</v>
      </c>
      <c r="CV40">
        <v>0</v>
      </c>
      <c r="CW40">
        <f>ROUND(Y40*Source!I38*DO40,7)</f>
        <v>2.2036900000000002E-2</v>
      </c>
      <c r="CX40">
        <f>ROUND(Y40*Source!I38,7)</f>
        <v>2.2036900000000002E-2</v>
      </c>
      <c r="CY40">
        <f>AB40</f>
        <v>1682.51</v>
      </c>
      <c r="CZ40">
        <f>AF40</f>
        <v>1682.51</v>
      </c>
      <c r="DA40">
        <f>AJ40</f>
        <v>1</v>
      </c>
      <c r="DB40">
        <f>ROUND((ROUND(AT40*CZ40,2)*ROUND(((0.15+1)*1.25),7)),6)</f>
        <v>362.79624999999999</v>
      </c>
      <c r="DC40">
        <f>ROUND((ROUND(AT40*AG40,2)*ROUND(((0.15+1)*1.25),7)),6)</f>
        <v>114.094375</v>
      </c>
      <c r="DD40" t="s">
        <v>3</v>
      </c>
      <c r="DE40" t="s">
        <v>3</v>
      </c>
      <c r="DF40">
        <f>ROUND(ROUND(AE40,2)*CX40,2)</f>
        <v>0</v>
      </c>
      <c r="DG40">
        <f t="shared" si="9"/>
        <v>37.08</v>
      </c>
      <c r="DH40">
        <f t="shared" si="10"/>
        <v>11.66</v>
      </c>
      <c r="DI40">
        <f t="shared" si="11"/>
        <v>0</v>
      </c>
      <c r="DJ40">
        <f>DG40+DH40</f>
        <v>48.739999999999995</v>
      </c>
      <c r="DK40">
        <v>1</v>
      </c>
      <c r="DL40" t="s">
        <v>280</v>
      </c>
      <c r="DM40">
        <v>6</v>
      </c>
      <c r="DN40" t="s">
        <v>271</v>
      </c>
      <c r="DO40">
        <v>1</v>
      </c>
    </row>
    <row r="41" spans="1:119">
      <c r="A41">
        <f>ROW(Source!A38)</f>
        <v>38</v>
      </c>
      <c r="B41">
        <v>46261364</v>
      </c>
      <c r="C41">
        <v>46261212</v>
      </c>
      <c r="D41">
        <v>39600822</v>
      </c>
      <c r="E41">
        <v>1</v>
      </c>
      <c r="F41">
        <v>1</v>
      </c>
      <c r="G41">
        <v>1</v>
      </c>
      <c r="H41">
        <v>2</v>
      </c>
      <c r="I41" t="s">
        <v>315</v>
      </c>
      <c r="J41" t="s">
        <v>316</v>
      </c>
      <c r="K41" t="s">
        <v>317</v>
      </c>
      <c r="L41">
        <v>1368</v>
      </c>
      <c r="N41">
        <v>1011</v>
      </c>
      <c r="O41" t="s">
        <v>279</v>
      </c>
      <c r="P41" t="s">
        <v>279</v>
      </c>
      <c r="Q41">
        <v>1</v>
      </c>
      <c r="W41">
        <v>0</v>
      </c>
      <c r="X41">
        <v>-950105757</v>
      </c>
      <c r="Y41">
        <f>(AT41*ROUND(((0.15+1)*1.25),7))</f>
        <v>0.28750000000000003</v>
      </c>
      <c r="AA41">
        <v>0</v>
      </c>
      <c r="AB41">
        <v>579.09</v>
      </c>
      <c r="AC41">
        <v>393.89</v>
      </c>
      <c r="AD41">
        <v>0</v>
      </c>
      <c r="AE41">
        <v>0</v>
      </c>
      <c r="AF41">
        <v>579.09</v>
      </c>
      <c r="AG41">
        <v>393.89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0</v>
      </c>
      <c r="AP41">
        <v>1</v>
      </c>
      <c r="AQ41">
        <v>1</v>
      </c>
      <c r="AR41">
        <v>0</v>
      </c>
      <c r="AS41" t="s">
        <v>3</v>
      </c>
      <c r="AT41">
        <v>0.2</v>
      </c>
      <c r="AU41" t="s">
        <v>81</v>
      </c>
      <c r="AV41">
        <v>1</v>
      </c>
      <c r="AW41">
        <v>2</v>
      </c>
      <c r="AX41">
        <v>46261222</v>
      </c>
      <c r="AY41">
        <v>2</v>
      </c>
      <c r="AZ41">
        <v>98304</v>
      </c>
      <c r="BA41">
        <v>43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115.81800000000001</v>
      </c>
      <c r="BL41">
        <v>78.778000000000006</v>
      </c>
      <c r="BM41">
        <v>0</v>
      </c>
      <c r="BN41">
        <v>0</v>
      </c>
      <c r="BO41">
        <v>0.2</v>
      </c>
      <c r="BP41">
        <v>1</v>
      </c>
      <c r="BQ41">
        <v>0</v>
      </c>
      <c r="BR41">
        <v>166.48837499999999</v>
      </c>
      <c r="BS41">
        <v>113.24337499999999</v>
      </c>
      <c r="BT41">
        <v>0</v>
      </c>
      <c r="BU41">
        <v>0</v>
      </c>
      <c r="BV41">
        <v>0.28749999999999998</v>
      </c>
      <c r="BW41">
        <v>1</v>
      </c>
      <c r="CV41">
        <v>0</v>
      </c>
      <c r="CW41">
        <f>ROUND(Y41*Source!I38*DO41,7)</f>
        <v>2.9382499999999999E-2</v>
      </c>
      <c r="CX41">
        <f>ROUND(Y41*Source!I38,7)</f>
        <v>2.9382499999999999E-2</v>
      </c>
      <c r="CY41">
        <f>AB41</f>
        <v>579.09</v>
      </c>
      <c r="CZ41">
        <f>AF41</f>
        <v>579.09</v>
      </c>
      <c r="DA41">
        <f>AJ41</f>
        <v>1</v>
      </c>
      <c r="DB41">
        <f>ROUND((ROUND(AT41*CZ41,2)*ROUND(((0.15+1)*1.25),7)),6)</f>
        <v>166.49125000000001</v>
      </c>
      <c r="DC41">
        <f>ROUND((ROUND(AT41*AG41,2)*ROUND(((0.15+1)*1.25),7)),6)</f>
        <v>113.24625</v>
      </c>
      <c r="DD41" t="s">
        <v>3</v>
      </c>
      <c r="DE41" t="s">
        <v>3</v>
      </c>
      <c r="DF41">
        <f>ROUND(ROUND(AE41,2)*CX41,2)</f>
        <v>0</v>
      </c>
      <c r="DG41">
        <f t="shared" si="9"/>
        <v>17.02</v>
      </c>
      <c r="DH41">
        <f t="shared" si="10"/>
        <v>11.57</v>
      </c>
      <c r="DI41">
        <f t="shared" si="11"/>
        <v>0</v>
      </c>
      <c r="DJ41">
        <f>DG41+DH41</f>
        <v>28.59</v>
      </c>
      <c r="DK41">
        <v>1</v>
      </c>
      <c r="DL41" t="s">
        <v>295</v>
      </c>
      <c r="DM41">
        <v>4</v>
      </c>
      <c r="DN41" t="s">
        <v>271</v>
      </c>
      <c r="DO41">
        <v>1</v>
      </c>
    </row>
    <row r="42" spans="1:119">
      <c r="A42">
        <f>ROW(Source!A38)</f>
        <v>38</v>
      </c>
      <c r="B42">
        <v>46261364</v>
      </c>
      <c r="C42">
        <v>46261212</v>
      </c>
      <c r="D42">
        <v>39557222</v>
      </c>
      <c r="E42">
        <v>1</v>
      </c>
      <c r="F42">
        <v>1</v>
      </c>
      <c r="G42">
        <v>1</v>
      </c>
      <c r="H42">
        <v>3</v>
      </c>
      <c r="I42" t="s">
        <v>126</v>
      </c>
      <c r="J42" t="s">
        <v>129</v>
      </c>
      <c r="K42" t="s">
        <v>127</v>
      </c>
      <c r="L42">
        <v>1327</v>
      </c>
      <c r="N42">
        <v>1005</v>
      </c>
      <c r="O42" t="s">
        <v>128</v>
      </c>
      <c r="P42" t="s">
        <v>128</v>
      </c>
      <c r="Q42">
        <v>1</v>
      </c>
      <c r="W42">
        <v>0</v>
      </c>
      <c r="X42">
        <v>24184885</v>
      </c>
      <c r="Y42">
        <f>AT42</f>
        <v>489.23679060000001</v>
      </c>
      <c r="AA42">
        <v>98.12</v>
      </c>
      <c r="AB42">
        <v>0</v>
      </c>
      <c r="AC42">
        <v>0</v>
      </c>
      <c r="AD42">
        <v>0</v>
      </c>
      <c r="AE42">
        <v>93.45</v>
      </c>
      <c r="AF42">
        <v>0</v>
      </c>
      <c r="AG42">
        <v>0</v>
      </c>
      <c r="AH42">
        <v>0</v>
      </c>
      <c r="AI42">
        <v>1.05</v>
      </c>
      <c r="AJ42">
        <v>1</v>
      </c>
      <c r="AK42">
        <v>1</v>
      </c>
      <c r="AL42">
        <v>1</v>
      </c>
      <c r="AM42">
        <v>2</v>
      </c>
      <c r="AN42">
        <v>0</v>
      </c>
      <c r="AO42">
        <v>0</v>
      </c>
      <c r="AP42">
        <v>1</v>
      </c>
      <c r="AQ42">
        <v>0</v>
      </c>
      <c r="AR42">
        <v>0</v>
      </c>
      <c r="AS42" t="s">
        <v>3</v>
      </c>
      <c r="AT42">
        <v>489.23679060000001</v>
      </c>
      <c r="AU42" t="s">
        <v>3</v>
      </c>
      <c r="AV42">
        <v>0</v>
      </c>
      <c r="AW42">
        <v>1</v>
      </c>
      <c r="AX42">
        <v>-1</v>
      </c>
      <c r="AY42">
        <v>0</v>
      </c>
      <c r="AZ42">
        <v>0</v>
      </c>
      <c r="BA42" t="s">
        <v>3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V42">
        <v>0</v>
      </c>
      <c r="CW42">
        <v>0</v>
      </c>
      <c r="CX42">
        <f>ROUND(Y42*Source!I38,7)</f>
        <v>50</v>
      </c>
      <c r="CY42">
        <f>AA42</f>
        <v>98.12</v>
      </c>
      <c r="CZ42">
        <f>AE42</f>
        <v>93.45</v>
      </c>
      <c r="DA42">
        <f>AI42</f>
        <v>1.05</v>
      </c>
      <c r="DB42">
        <f>ROUND(ROUND(AT42*CZ42,2),6)</f>
        <v>45719.18</v>
      </c>
      <c r="DC42">
        <f>ROUND(ROUND(AT42*AG42,2),6)</f>
        <v>0</v>
      </c>
      <c r="DD42" t="s">
        <v>3</v>
      </c>
      <c r="DE42" t="s">
        <v>3</v>
      </c>
      <c r="DF42">
        <f>ROUND(ROUND(AE42*AI42,2)*CX42,2)</f>
        <v>4906</v>
      </c>
      <c r="DG42">
        <f t="shared" si="9"/>
        <v>0</v>
      </c>
      <c r="DH42">
        <f t="shared" si="10"/>
        <v>0</v>
      </c>
      <c r="DI42">
        <f t="shared" si="11"/>
        <v>0</v>
      </c>
      <c r="DJ42">
        <f>DF42</f>
        <v>4906</v>
      </c>
      <c r="DK42">
        <v>0</v>
      </c>
      <c r="DL42" t="s">
        <v>3</v>
      </c>
      <c r="DM42">
        <v>0</v>
      </c>
      <c r="DN42" t="s">
        <v>3</v>
      </c>
      <c r="DO42">
        <v>0</v>
      </c>
    </row>
    <row r="43" spans="1:119">
      <c r="A43">
        <f>ROW(Source!A38)</f>
        <v>38</v>
      </c>
      <c r="B43">
        <v>46261364</v>
      </c>
      <c r="C43">
        <v>46261212</v>
      </c>
      <c r="D43">
        <v>39558002</v>
      </c>
      <c r="E43">
        <v>1</v>
      </c>
      <c r="F43">
        <v>1</v>
      </c>
      <c r="G43">
        <v>1</v>
      </c>
      <c r="H43">
        <v>3</v>
      </c>
      <c r="I43" t="s">
        <v>344</v>
      </c>
      <c r="J43" t="s">
        <v>345</v>
      </c>
      <c r="K43" t="s">
        <v>346</v>
      </c>
      <c r="L43">
        <v>1348</v>
      </c>
      <c r="N43">
        <v>1009</v>
      </c>
      <c r="O43" t="s">
        <v>90</v>
      </c>
      <c r="P43" t="s">
        <v>90</v>
      </c>
      <c r="Q43">
        <v>1000</v>
      </c>
      <c r="W43">
        <v>0</v>
      </c>
      <c r="X43">
        <v>-985607335</v>
      </c>
      <c r="Y43">
        <f>AT43</f>
        <v>2.8000000000000001E-2</v>
      </c>
      <c r="AA43">
        <v>79017.64</v>
      </c>
      <c r="AB43">
        <v>0</v>
      </c>
      <c r="AC43">
        <v>0</v>
      </c>
      <c r="AD43">
        <v>0</v>
      </c>
      <c r="AE43">
        <v>88783.86</v>
      </c>
      <c r="AF43">
        <v>0</v>
      </c>
      <c r="AG43">
        <v>0</v>
      </c>
      <c r="AH43">
        <v>0</v>
      </c>
      <c r="AI43">
        <v>0.89</v>
      </c>
      <c r="AJ43">
        <v>1</v>
      </c>
      <c r="AK43">
        <v>1</v>
      </c>
      <c r="AL43">
        <v>1</v>
      </c>
      <c r="AM43">
        <v>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2.8000000000000001E-2</v>
      </c>
      <c r="AU43" t="s">
        <v>3</v>
      </c>
      <c r="AV43">
        <v>0</v>
      </c>
      <c r="AW43">
        <v>2</v>
      </c>
      <c r="AX43">
        <v>46261223</v>
      </c>
      <c r="AY43">
        <v>1</v>
      </c>
      <c r="AZ43">
        <v>0</v>
      </c>
      <c r="BA43">
        <v>44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2485.9480800000001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2485.9480800000001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</v>
      </c>
      <c r="CV43">
        <v>0</v>
      </c>
      <c r="CW43">
        <v>0</v>
      </c>
      <c r="CX43">
        <f>ROUND(Y43*Source!I38,7)</f>
        <v>2.8616000000000002E-3</v>
      </c>
      <c r="CY43">
        <f>AA43</f>
        <v>79017.64</v>
      </c>
      <c r="CZ43">
        <f>AE43</f>
        <v>88783.86</v>
      </c>
      <c r="DA43">
        <f>AI43</f>
        <v>0.89</v>
      </c>
      <c r="DB43">
        <f>ROUND(ROUND(AT43*CZ43,2),6)</f>
        <v>2485.9499999999998</v>
      </c>
      <c r="DC43">
        <f>ROUND(ROUND(AT43*AG43,2),6)</f>
        <v>0</v>
      </c>
      <c r="DD43" t="s">
        <v>3</v>
      </c>
      <c r="DE43" t="s">
        <v>3</v>
      </c>
      <c r="DF43">
        <f>ROUND(ROUND(AE43*AI43,2)*CX43,2)</f>
        <v>226.12</v>
      </c>
      <c r="DG43">
        <f t="shared" si="9"/>
        <v>0</v>
      </c>
      <c r="DH43">
        <f t="shared" si="10"/>
        <v>0</v>
      </c>
      <c r="DI43">
        <f t="shared" si="11"/>
        <v>0</v>
      </c>
      <c r="DJ43">
        <f>DF43</f>
        <v>226.12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>
      <c r="A44">
        <f>ROW(Source!A40)</f>
        <v>40</v>
      </c>
      <c r="B44">
        <v>46261364</v>
      </c>
      <c r="C44">
        <v>46261226</v>
      </c>
      <c r="D44">
        <v>39474919</v>
      </c>
      <c r="E44">
        <v>116</v>
      </c>
      <c r="F44">
        <v>1</v>
      </c>
      <c r="G44">
        <v>1</v>
      </c>
      <c r="H44">
        <v>1</v>
      </c>
      <c r="I44" t="s">
        <v>272</v>
      </c>
      <c r="J44" t="s">
        <v>3</v>
      </c>
      <c r="K44" t="s">
        <v>273</v>
      </c>
      <c r="L44">
        <v>1191</v>
      </c>
      <c r="N44">
        <v>1013</v>
      </c>
      <c r="O44" t="s">
        <v>271</v>
      </c>
      <c r="P44" t="s">
        <v>271</v>
      </c>
      <c r="Q44">
        <v>1</v>
      </c>
      <c r="W44">
        <v>0</v>
      </c>
      <c r="X44">
        <v>370475345</v>
      </c>
      <c r="Y44">
        <f>(AT44*ROUND(((0.15+1)*1.15),7))</f>
        <v>178.53749999999999</v>
      </c>
      <c r="AA44">
        <v>0</v>
      </c>
      <c r="AB44">
        <v>0</v>
      </c>
      <c r="AC44">
        <v>0</v>
      </c>
      <c r="AD44">
        <v>320.41000000000003</v>
      </c>
      <c r="AE44">
        <v>0</v>
      </c>
      <c r="AF44">
        <v>0</v>
      </c>
      <c r="AG44">
        <v>0</v>
      </c>
      <c r="AH44">
        <v>320.41000000000003</v>
      </c>
      <c r="AI44">
        <v>1</v>
      </c>
      <c r="AJ44">
        <v>1</v>
      </c>
      <c r="AK44">
        <v>1</v>
      </c>
      <c r="AL44">
        <v>1</v>
      </c>
      <c r="AM44">
        <v>-2</v>
      </c>
      <c r="AN44">
        <v>0</v>
      </c>
      <c r="AO44">
        <v>0</v>
      </c>
      <c r="AP44">
        <v>1</v>
      </c>
      <c r="AQ44">
        <v>1</v>
      </c>
      <c r="AR44">
        <v>0</v>
      </c>
      <c r="AS44" t="s">
        <v>3</v>
      </c>
      <c r="AT44">
        <v>135</v>
      </c>
      <c r="AU44" t="s">
        <v>82</v>
      </c>
      <c r="AV44">
        <v>1</v>
      </c>
      <c r="AW44">
        <v>2</v>
      </c>
      <c r="AX44">
        <v>46261235</v>
      </c>
      <c r="AY44">
        <v>2</v>
      </c>
      <c r="AZ44">
        <v>131072</v>
      </c>
      <c r="BA44">
        <v>46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43255.350000000006</v>
      </c>
      <c r="BN44">
        <v>135</v>
      </c>
      <c r="BO44">
        <v>0</v>
      </c>
      <c r="BP44">
        <v>1</v>
      </c>
      <c r="BQ44">
        <v>0</v>
      </c>
      <c r="BR44">
        <v>0</v>
      </c>
      <c r="BS44">
        <v>0</v>
      </c>
      <c r="BT44">
        <v>57205.200375</v>
      </c>
      <c r="BU44">
        <v>178.53749999999999</v>
      </c>
      <c r="BV44">
        <v>0</v>
      </c>
      <c r="BW44">
        <v>1</v>
      </c>
      <c r="CU44">
        <f>ROUND(AT44*Source!I40*AH44*AL44,2)</f>
        <v>2616.08</v>
      </c>
      <c r="CV44">
        <f>ROUND(Y44*Source!I40,7)</f>
        <v>10.797948</v>
      </c>
      <c r="CW44">
        <v>0</v>
      </c>
      <c r="CX44">
        <f>ROUND(Y44*Source!I40,7)</f>
        <v>10.797948</v>
      </c>
      <c r="CY44">
        <f>AD44</f>
        <v>320.41000000000003</v>
      </c>
      <c r="CZ44">
        <f>AH44</f>
        <v>320.41000000000003</v>
      </c>
      <c r="DA44">
        <f>AL44</f>
        <v>1</v>
      </c>
      <c r="DB44">
        <f>ROUND((ROUND(AT44*CZ44,2)*ROUND(((0.15+1)*1.15),7)),6)</f>
        <v>57205.200375</v>
      </c>
      <c r="DC44">
        <f>ROUND((ROUND(AT44*AG44,2)*ROUND(((0.15+1)*1.15),7)),6)</f>
        <v>0</v>
      </c>
      <c r="DD44" t="s">
        <v>3</v>
      </c>
      <c r="DE44" t="s">
        <v>3</v>
      </c>
      <c r="DF44">
        <f>ROUND(ROUND(AE44,2)*CX44,2)</f>
        <v>0</v>
      </c>
      <c r="DG44">
        <f t="shared" si="9"/>
        <v>0</v>
      </c>
      <c r="DH44">
        <f t="shared" si="10"/>
        <v>0</v>
      </c>
      <c r="DI44">
        <f t="shared" si="11"/>
        <v>3459.77</v>
      </c>
      <c r="DJ44">
        <f>DI44</f>
        <v>3459.77</v>
      </c>
      <c r="DK44">
        <v>1</v>
      </c>
      <c r="DL44" t="s">
        <v>3</v>
      </c>
      <c r="DM44">
        <v>0</v>
      </c>
      <c r="DN44" t="s">
        <v>3</v>
      </c>
      <c r="DO44">
        <v>0</v>
      </c>
    </row>
    <row r="45" spans="1:119">
      <c r="A45">
        <f>ROW(Source!A40)</f>
        <v>40</v>
      </c>
      <c r="B45">
        <v>46261364</v>
      </c>
      <c r="C45">
        <v>46261226</v>
      </c>
      <c r="D45">
        <v>39475155</v>
      </c>
      <c r="E45">
        <v>116</v>
      </c>
      <c r="F45">
        <v>1</v>
      </c>
      <c r="G45">
        <v>1</v>
      </c>
      <c r="H45">
        <v>1</v>
      </c>
      <c r="I45" t="s">
        <v>274</v>
      </c>
      <c r="J45" t="s">
        <v>3</v>
      </c>
      <c r="K45" t="s">
        <v>275</v>
      </c>
      <c r="L45">
        <v>1191</v>
      </c>
      <c r="N45">
        <v>1013</v>
      </c>
      <c r="O45" t="s">
        <v>271</v>
      </c>
      <c r="P45" t="s">
        <v>271</v>
      </c>
      <c r="Q45">
        <v>1</v>
      </c>
      <c r="W45">
        <v>0</v>
      </c>
      <c r="X45">
        <v>-1417349443</v>
      </c>
      <c r="Y45">
        <f>(AT45*ROUND(((0.15+1)*1.25),7))</f>
        <v>26.047500000000003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-2</v>
      </c>
      <c r="AN45">
        <v>0</v>
      </c>
      <c r="AO45">
        <v>0</v>
      </c>
      <c r="AP45">
        <v>1</v>
      </c>
      <c r="AQ45">
        <v>1</v>
      </c>
      <c r="AR45">
        <v>0</v>
      </c>
      <c r="AS45" t="s">
        <v>3</v>
      </c>
      <c r="AT45">
        <v>18.12</v>
      </c>
      <c r="AU45" t="s">
        <v>81</v>
      </c>
      <c r="AV45">
        <v>2</v>
      </c>
      <c r="AW45">
        <v>2</v>
      </c>
      <c r="AX45">
        <v>46261236</v>
      </c>
      <c r="AY45">
        <v>1</v>
      </c>
      <c r="AZ45">
        <v>0</v>
      </c>
      <c r="BA45">
        <v>47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V45">
        <v>0</v>
      </c>
      <c r="CW45">
        <v>0</v>
      </c>
      <c r="CX45">
        <f>ROUND(Y45*Source!I40,7)</f>
        <v>1.5753528000000001</v>
      </c>
      <c r="CY45">
        <f>AD45</f>
        <v>0</v>
      </c>
      <c r="CZ45">
        <f>AH45</f>
        <v>0</v>
      </c>
      <c r="DA45">
        <f>AL45</f>
        <v>1</v>
      </c>
      <c r="DB45">
        <f>ROUND((ROUND(AT45*CZ45,2)*ROUND(((0.15+1)*1.25),7)),6)</f>
        <v>0</v>
      </c>
      <c r="DC45">
        <f>ROUND((ROUND(AT45*AG45,2)*ROUND(((0.15+1)*1.25),7)),6)</f>
        <v>0</v>
      </c>
      <c r="DD45" t="s">
        <v>3</v>
      </c>
      <c r="DE45" t="s">
        <v>3</v>
      </c>
      <c r="DF45">
        <f>ROUND(ROUND(AE45,2)*CX45,2)</f>
        <v>0</v>
      </c>
      <c r="DG45">
        <f t="shared" si="9"/>
        <v>0</v>
      </c>
      <c r="DH45">
        <f t="shared" si="10"/>
        <v>0</v>
      </c>
      <c r="DI45">
        <f t="shared" si="11"/>
        <v>0</v>
      </c>
      <c r="DJ45">
        <f>DI45</f>
        <v>0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>
      <c r="A46">
        <f>ROW(Source!A40)</f>
        <v>40</v>
      </c>
      <c r="B46">
        <v>46261364</v>
      </c>
      <c r="C46">
        <v>46261226</v>
      </c>
      <c r="D46">
        <v>39599865</v>
      </c>
      <c r="E46">
        <v>1</v>
      </c>
      <c r="F46">
        <v>1</v>
      </c>
      <c r="G46">
        <v>1</v>
      </c>
      <c r="H46">
        <v>2</v>
      </c>
      <c r="I46" t="s">
        <v>347</v>
      </c>
      <c r="J46" t="s">
        <v>348</v>
      </c>
      <c r="K46" t="s">
        <v>349</v>
      </c>
      <c r="L46">
        <v>1368</v>
      </c>
      <c r="N46">
        <v>1011</v>
      </c>
      <c r="O46" t="s">
        <v>279</v>
      </c>
      <c r="P46" t="s">
        <v>279</v>
      </c>
      <c r="Q46">
        <v>1</v>
      </c>
      <c r="W46">
        <v>0</v>
      </c>
      <c r="X46">
        <v>336666443</v>
      </c>
      <c r="Y46">
        <f>(AT46*ROUND(((0.15+1)*1.25),7))</f>
        <v>25.875</v>
      </c>
      <c r="AA46">
        <v>0</v>
      </c>
      <c r="AB46">
        <v>1105.93</v>
      </c>
      <c r="AC46">
        <v>529.11</v>
      </c>
      <c r="AD46">
        <v>0</v>
      </c>
      <c r="AE46">
        <v>0</v>
      </c>
      <c r="AF46">
        <v>1105.93</v>
      </c>
      <c r="AG46">
        <v>529.11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18</v>
      </c>
      <c r="AU46" t="s">
        <v>81</v>
      </c>
      <c r="AV46">
        <v>1</v>
      </c>
      <c r="AW46">
        <v>2</v>
      </c>
      <c r="AX46">
        <v>46261237</v>
      </c>
      <c r="AY46">
        <v>2</v>
      </c>
      <c r="AZ46">
        <v>98304</v>
      </c>
      <c r="BA46">
        <v>48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19906.740000000002</v>
      </c>
      <c r="BL46">
        <v>9523.98</v>
      </c>
      <c r="BM46">
        <v>0</v>
      </c>
      <c r="BN46">
        <v>0</v>
      </c>
      <c r="BO46">
        <v>18</v>
      </c>
      <c r="BP46">
        <v>1</v>
      </c>
      <c r="BQ46">
        <v>0</v>
      </c>
      <c r="BR46">
        <v>28615.938750000001</v>
      </c>
      <c r="BS46">
        <v>13690.721250000001</v>
      </c>
      <c r="BT46">
        <v>0</v>
      </c>
      <c r="BU46">
        <v>0</v>
      </c>
      <c r="BV46">
        <v>25.875</v>
      </c>
      <c r="BW46">
        <v>1</v>
      </c>
      <c r="CV46">
        <v>0</v>
      </c>
      <c r="CW46">
        <f>ROUND(Y46*Source!I40*DO46,7)</f>
        <v>1.5649200000000001</v>
      </c>
      <c r="CX46">
        <f>ROUND(Y46*Source!I40,7)</f>
        <v>1.5649200000000001</v>
      </c>
      <c r="CY46">
        <f>AB46</f>
        <v>1105.93</v>
      </c>
      <c r="CZ46">
        <f>AF46</f>
        <v>1105.93</v>
      </c>
      <c r="DA46">
        <f>AJ46</f>
        <v>1</v>
      </c>
      <c r="DB46">
        <f>ROUND((ROUND(AT46*CZ46,2)*ROUND(((0.15+1)*1.25),7)),6)</f>
        <v>28615.938750000001</v>
      </c>
      <c r="DC46">
        <f>ROUND((ROUND(AT46*AG46,2)*ROUND(((0.15+1)*1.25),7)),6)</f>
        <v>13690.721250000001</v>
      </c>
      <c r="DD46" t="s">
        <v>3</v>
      </c>
      <c r="DE46" t="s">
        <v>3</v>
      </c>
      <c r="DF46">
        <f>ROUND(ROUND(AE46,2)*CX46,2)</f>
        <v>0</v>
      </c>
      <c r="DG46">
        <f t="shared" si="9"/>
        <v>1730.69</v>
      </c>
      <c r="DH46">
        <f t="shared" si="10"/>
        <v>828.01</v>
      </c>
      <c r="DI46">
        <f t="shared" si="11"/>
        <v>0</v>
      </c>
      <c r="DJ46">
        <f>DG46+DH46</f>
        <v>2558.6999999999998</v>
      </c>
      <c r="DK46">
        <v>1</v>
      </c>
      <c r="DL46" t="s">
        <v>280</v>
      </c>
      <c r="DM46">
        <v>6</v>
      </c>
      <c r="DN46" t="s">
        <v>271</v>
      </c>
      <c r="DO46">
        <v>1</v>
      </c>
    </row>
    <row r="47" spans="1:119">
      <c r="A47">
        <f>ROW(Source!A40)</f>
        <v>40</v>
      </c>
      <c r="B47">
        <v>46261364</v>
      </c>
      <c r="C47">
        <v>46261226</v>
      </c>
      <c r="D47">
        <v>39600175</v>
      </c>
      <c r="E47">
        <v>1</v>
      </c>
      <c r="F47">
        <v>1</v>
      </c>
      <c r="G47">
        <v>1</v>
      </c>
      <c r="H47">
        <v>2</v>
      </c>
      <c r="I47" t="s">
        <v>350</v>
      </c>
      <c r="J47" t="s">
        <v>351</v>
      </c>
      <c r="K47" t="s">
        <v>352</v>
      </c>
      <c r="L47">
        <v>1368</v>
      </c>
      <c r="N47">
        <v>1011</v>
      </c>
      <c r="O47" t="s">
        <v>279</v>
      </c>
      <c r="P47" t="s">
        <v>279</v>
      </c>
      <c r="Q47">
        <v>1</v>
      </c>
      <c r="W47">
        <v>0</v>
      </c>
      <c r="X47">
        <v>-844200119</v>
      </c>
      <c r="Y47">
        <f>(AT47*ROUND(((0.15+1)*1.25),7))</f>
        <v>8.5243749999999991</v>
      </c>
      <c r="AA47">
        <v>0</v>
      </c>
      <c r="AB47">
        <v>15.46</v>
      </c>
      <c r="AC47">
        <v>0</v>
      </c>
      <c r="AD47">
        <v>0</v>
      </c>
      <c r="AE47">
        <v>0</v>
      </c>
      <c r="AF47">
        <v>8.5399999999999991</v>
      </c>
      <c r="AG47">
        <v>0</v>
      </c>
      <c r="AH47">
        <v>0</v>
      </c>
      <c r="AI47">
        <v>1</v>
      </c>
      <c r="AJ47">
        <v>1.81</v>
      </c>
      <c r="AK47">
        <v>1</v>
      </c>
      <c r="AL47">
        <v>1</v>
      </c>
      <c r="AM47">
        <v>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5.93</v>
      </c>
      <c r="AU47" t="s">
        <v>81</v>
      </c>
      <c r="AV47">
        <v>1</v>
      </c>
      <c r="AW47">
        <v>2</v>
      </c>
      <c r="AX47">
        <v>46261238</v>
      </c>
      <c r="AY47">
        <v>1</v>
      </c>
      <c r="AZ47">
        <v>0</v>
      </c>
      <c r="BA47">
        <v>49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50.642199999999995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0</v>
      </c>
      <c r="BR47">
        <v>72.798162499999989</v>
      </c>
      <c r="BS47">
        <v>0</v>
      </c>
      <c r="BT47">
        <v>0</v>
      </c>
      <c r="BU47">
        <v>0</v>
      </c>
      <c r="BV47">
        <v>0</v>
      </c>
      <c r="BW47">
        <v>1</v>
      </c>
      <c r="CV47">
        <v>0</v>
      </c>
      <c r="CW47">
        <f>ROUND(Y47*Source!I40*DO47,7)</f>
        <v>0</v>
      </c>
      <c r="CX47">
        <f>ROUND(Y47*Source!I40,7)</f>
        <v>0.51555419999999996</v>
      </c>
      <c r="CY47">
        <f>AB47</f>
        <v>15.46</v>
      </c>
      <c r="CZ47">
        <f>AF47</f>
        <v>8.5399999999999991</v>
      </c>
      <c r="DA47">
        <f>AJ47</f>
        <v>1.81</v>
      </c>
      <c r="DB47">
        <f>ROUND((ROUND(AT47*CZ47,2)*ROUND(((0.15+1)*1.25),7)),6)</f>
        <v>72.795000000000002</v>
      </c>
      <c r="DC47">
        <f>ROUND((ROUND(AT47*AG47,2)*ROUND(((0.15+1)*1.25),7)),6)</f>
        <v>0</v>
      </c>
      <c r="DD47" t="s">
        <v>3</v>
      </c>
      <c r="DE47" t="s">
        <v>3</v>
      </c>
      <c r="DF47">
        <f>ROUND(ROUND(AE47,2)*CX47,2)</f>
        <v>0</v>
      </c>
      <c r="DG47">
        <f>ROUND(ROUND(AF47*AJ47,2)*CX47,2)</f>
        <v>7.97</v>
      </c>
      <c r="DH47">
        <f t="shared" si="10"/>
        <v>0</v>
      </c>
      <c r="DI47">
        <f t="shared" si="11"/>
        <v>0</v>
      </c>
      <c r="DJ47">
        <f>DG47+DH47</f>
        <v>7.97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>
      <c r="A48">
        <f>ROW(Source!A40)</f>
        <v>40</v>
      </c>
      <c r="B48">
        <v>46261364</v>
      </c>
      <c r="C48">
        <v>46261226</v>
      </c>
      <c r="D48">
        <v>39600822</v>
      </c>
      <c r="E48">
        <v>1</v>
      </c>
      <c r="F48">
        <v>1</v>
      </c>
      <c r="G48">
        <v>1</v>
      </c>
      <c r="H48">
        <v>2</v>
      </c>
      <c r="I48" t="s">
        <v>315</v>
      </c>
      <c r="J48" t="s">
        <v>316</v>
      </c>
      <c r="K48" t="s">
        <v>317</v>
      </c>
      <c r="L48">
        <v>1368</v>
      </c>
      <c r="N48">
        <v>1011</v>
      </c>
      <c r="O48" t="s">
        <v>279</v>
      </c>
      <c r="P48" t="s">
        <v>279</v>
      </c>
      <c r="Q48">
        <v>1</v>
      </c>
      <c r="W48">
        <v>0</v>
      </c>
      <c r="X48">
        <v>-950105757</v>
      </c>
      <c r="Y48">
        <f>(AT48*ROUND(((0.15+1)*1.25),7))</f>
        <v>0.17249999999999999</v>
      </c>
      <c r="AA48">
        <v>0</v>
      </c>
      <c r="AB48">
        <v>579.09</v>
      </c>
      <c r="AC48">
        <v>393.89</v>
      </c>
      <c r="AD48">
        <v>0</v>
      </c>
      <c r="AE48">
        <v>0</v>
      </c>
      <c r="AF48">
        <v>579.09</v>
      </c>
      <c r="AG48">
        <v>393.89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-2</v>
      </c>
      <c r="AN48">
        <v>0</v>
      </c>
      <c r="AO48">
        <v>0</v>
      </c>
      <c r="AP48">
        <v>1</v>
      </c>
      <c r="AQ48">
        <v>1</v>
      </c>
      <c r="AR48">
        <v>0</v>
      </c>
      <c r="AS48" t="s">
        <v>3</v>
      </c>
      <c r="AT48">
        <v>0.12</v>
      </c>
      <c r="AU48" t="s">
        <v>81</v>
      </c>
      <c r="AV48">
        <v>1</v>
      </c>
      <c r="AW48">
        <v>2</v>
      </c>
      <c r="AX48">
        <v>46261239</v>
      </c>
      <c r="AY48">
        <v>2</v>
      </c>
      <c r="AZ48">
        <v>98304</v>
      </c>
      <c r="BA48">
        <v>50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69.490800000000007</v>
      </c>
      <c r="BL48">
        <v>47.266799999999996</v>
      </c>
      <c r="BM48">
        <v>0</v>
      </c>
      <c r="BN48">
        <v>0</v>
      </c>
      <c r="BO48">
        <v>0.12</v>
      </c>
      <c r="BP48">
        <v>1</v>
      </c>
      <c r="BQ48">
        <v>0</v>
      </c>
      <c r="BR48">
        <v>99.893024999999994</v>
      </c>
      <c r="BS48">
        <v>67.946024999999992</v>
      </c>
      <c r="BT48">
        <v>0</v>
      </c>
      <c r="BU48">
        <v>0</v>
      </c>
      <c r="BV48">
        <v>0.17249999999999999</v>
      </c>
      <c r="BW48">
        <v>1</v>
      </c>
      <c r="CV48">
        <v>0</v>
      </c>
      <c r="CW48">
        <f>ROUND(Y48*Source!I40*DO48,7)</f>
        <v>1.0432800000000001E-2</v>
      </c>
      <c r="CX48">
        <f>ROUND(Y48*Source!I40,7)</f>
        <v>1.0432800000000001E-2</v>
      </c>
      <c r="CY48">
        <f>AB48</f>
        <v>579.09</v>
      </c>
      <c r="CZ48">
        <f>AF48</f>
        <v>579.09</v>
      </c>
      <c r="DA48">
        <f>AJ48</f>
        <v>1</v>
      </c>
      <c r="DB48">
        <f>ROUND((ROUND(AT48*CZ48,2)*ROUND(((0.15+1)*1.25),7)),6)</f>
        <v>99.891874999999999</v>
      </c>
      <c r="DC48">
        <f>ROUND((ROUND(AT48*AG48,2)*ROUND(((0.15+1)*1.25),7)),6)</f>
        <v>67.950625000000002</v>
      </c>
      <c r="DD48" t="s">
        <v>3</v>
      </c>
      <c r="DE48" t="s">
        <v>3</v>
      </c>
      <c r="DF48">
        <f>ROUND(ROUND(AE48,2)*CX48,2)</f>
        <v>0</v>
      </c>
      <c r="DG48">
        <f>ROUND(ROUND(AF48,2)*CX48,2)</f>
        <v>6.04</v>
      </c>
      <c r="DH48">
        <f t="shared" si="10"/>
        <v>4.1100000000000003</v>
      </c>
      <c r="DI48">
        <f t="shared" si="11"/>
        <v>0</v>
      </c>
      <c r="DJ48">
        <f>DG48+DH48</f>
        <v>10.15</v>
      </c>
      <c r="DK48">
        <v>1</v>
      </c>
      <c r="DL48" t="s">
        <v>295</v>
      </c>
      <c r="DM48">
        <v>4</v>
      </c>
      <c r="DN48" t="s">
        <v>271</v>
      </c>
      <c r="DO48">
        <v>1</v>
      </c>
    </row>
    <row r="49" spans="1:119">
      <c r="A49">
        <f>ROW(Source!A40)</f>
        <v>40</v>
      </c>
      <c r="B49">
        <v>46261364</v>
      </c>
      <c r="C49">
        <v>46261226</v>
      </c>
      <c r="D49">
        <v>39548491</v>
      </c>
      <c r="E49">
        <v>1</v>
      </c>
      <c r="F49">
        <v>1</v>
      </c>
      <c r="G49">
        <v>1</v>
      </c>
      <c r="H49">
        <v>3</v>
      </c>
      <c r="I49" t="s">
        <v>307</v>
      </c>
      <c r="J49" t="s">
        <v>308</v>
      </c>
      <c r="K49" t="s">
        <v>309</v>
      </c>
      <c r="L49">
        <v>1339</v>
      </c>
      <c r="N49">
        <v>1007</v>
      </c>
      <c r="O49" t="s">
        <v>75</v>
      </c>
      <c r="P49" t="s">
        <v>75</v>
      </c>
      <c r="Q49">
        <v>1</v>
      </c>
      <c r="W49">
        <v>0</v>
      </c>
      <c r="X49">
        <v>593551466</v>
      </c>
      <c r="Y49">
        <f>AT49</f>
        <v>1.75</v>
      </c>
      <c r="AA49">
        <v>31.42</v>
      </c>
      <c r="AB49">
        <v>0</v>
      </c>
      <c r="AC49">
        <v>0</v>
      </c>
      <c r="AD49">
        <v>0</v>
      </c>
      <c r="AE49">
        <v>35.71</v>
      </c>
      <c r="AF49">
        <v>0</v>
      </c>
      <c r="AG49">
        <v>0</v>
      </c>
      <c r="AH49">
        <v>0</v>
      </c>
      <c r="AI49">
        <v>0.88</v>
      </c>
      <c r="AJ49">
        <v>1</v>
      </c>
      <c r="AK49">
        <v>1</v>
      </c>
      <c r="AL49">
        <v>1</v>
      </c>
      <c r="AM49">
        <v>2</v>
      </c>
      <c r="AN49">
        <v>0</v>
      </c>
      <c r="AO49">
        <v>0</v>
      </c>
      <c r="AP49">
        <v>1</v>
      </c>
      <c r="AQ49">
        <v>1</v>
      </c>
      <c r="AR49">
        <v>0</v>
      </c>
      <c r="AS49" t="s">
        <v>3</v>
      </c>
      <c r="AT49">
        <v>1.75</v>
      </c>
      <c r="AU49" t="s">
        <v>3</v>
      </c>
      <c r="AV49">
        <v>0</v>
      </c>
      <c r="AW49">
        <v>2</v>
      </c>
      <c r="AX49">
        <v>46261240</v>
      </c>
      <c r="AY49">
        <v>1</v>
      </c>
      <c r="AZ49">
        <v>0</v>
      </c>
      <c r="BA49">
        <v>51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62.4925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62.4925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1</v>
      </c>
      <c r="CV49">
        <v>0</v>
      </c>
      <c r="CW49">
        <v>0</v>
      </c>
      <c r="CX49">
        <f>ROUND(Y49*Source!I40,7)</f>
        <v>0.10584</v>
      </c>
      <c r="CY49">
        <f>AA49</f>
        <v>31.42</v>
      </c>
      <c r="CZ49">
        <f>AE49</f>
        <v>35.71</v>
      </c>
      <c r="DA49">
        <f>AI49</f>
        <v>0.88</v>
      </c>
      <c r="DB49">
        <f>ROUND(ROUND(AT49*CZ49,2),6)</f>
        <v>62.49</v>
      </c>
      <c r="DC49">
        <f>ROUND(ROUND(AT49*AG49,2),6)</f>
        <v>0</v>
      </c>
      <c r="DD49" t="s">
        <v>3</v>
      </c>
      <c r="DE49" t="s">
        <v>3</v>
      </c>
      <c r="DF49">
        <f>ROUND(ROUND(AE49*AI49,2)*CX49,2)</f>
        <v>3.33</v>
      </c>
      <c r="DG49">
        <f>ROUND(ROUND(AF49,2)*CX49,2)</f>
        <v>0</v>
      </c>
      <c r="DH49">
        <f t="shared" si="10"/>
        <v>0</v>
      </c>
      <c r="DI49">
        <f t="shared" si="11"/>
        <v>0</v>
      </c>
      <c r="DJ49">
        <f>DF49</f>
        <v>3.33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>
      <c r="A50">
        <f>ROW(Source!A40)</f>
        <v>40</v>
      </c>
      <c r="B50">
        <v>46261364</v>
      </c>
      <c r="C50">
        <v>46261226</v>
      </c>
      <c r="D50">
        <v>39548796</v>
      </c>
      <c r="E50">
        <v>1</v>
      </c>
      <c r="F50">
        <v>1</v>
      </c>
      <c r="G50">
        <v>1</v>
      </c>
      <c r="H50">
        <v>3</v>
      </c>
      <c r="I50" t="s">
        <v>353</v>
      </c>
      <c r="J50" t="s">
        <v>354</v>
      </c>
      <c r="K50" t="s">
        <v>355</v>
      </c>
      <c r="L50">
        <v>1327</v>
      </c>
      <c r="N50">
        <v>1005</v>
      </c>
      <c r="O50" t="s">
        <v>128</v>
      </c>
      <c r="P50" t="s">
        <v>128</v>
      </c>
      <c r="Q50">
        <v>1</v>
      </c>
      <c r="W50">
        <v>0</v>
      </c>
      <c r="X50">
        <v>-173568257</v>
      </c>
      <c r="Y50">
        <f>AT50</f>
        <v>250</v>
      </c>
      <c r="AA50">
        <v>14.24</v>
      </c>
      <c r="AB50">
        <v>0</v>
      </c>
      <c r="AC50">
        <v>0</v>
      </c>
      <c r="AD50">
        <v>0</v>
      </c>
      <c r="AE50">
        <v>12.83</v>
      </c>
      <c r="AF50">
        <v>0</v>
      </c>
      <c r="AG50">
        <v>0</v>
      </c>
      <c r="AH50">
        <v>0</v>
      </c>
      <c r="AI50">
        <v>1.1100000000000001</v>
      </c>
      <c r="AJ50">
        <v>1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250</v>
      </c>
      <c r="AU50" t="s">
        <v>3</v>
      </c>
      <c r="AV50">
        <v>0</v>
      </c>
      <c r="AW50">
        <v>2</v>
      </c>
      <c r="AX50">
        <v>46261241</v>
      </c>
      <c r="AY50">
        <v>1</v>
      </c>
      <c r="AZ50">
        <v>0</v>
      </c>
      <c r="BA50">
        <v>52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3207.5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3207.5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CV50">
        <v>0</v>
      </c>
      <c r="CW50">
        <v>0</v>
      </c>
      <c r="CX50">
        <f>ROUND(Y50*Source!I40,7)</f>
        <v>15.12</v>
      </c>
      <c r="CY50">
        <f>AA50</f>
        <v>14.24</v>
      </c>
      <c r="CZ50">
        <f>AE50</f>
        <v>12.83</v>
      </c>
      <c r="DA50">
        <f>AI50</f>
        <v>1.1100000000000001</v>
      </c>
      <c r="DB50">
        <f>ROUND(ROUND(AT50*CZ50,2),6)</f>
        <v>3207.5</v>
      </c>
      <c r="DC50">
        <f>ROUND(ROUND(AT50*AG50,2),6)</f>
        <v>0</v>
      </c>
      <c r="DD50" t="s">
        <v>3</v>
      </c>
      <c r="DE50" t="s">
        <v>3</v>
      </c>
      <c r="DF50">
        <f>ROUND(ROUND(AE50*AI50,2)*CX50,2)</f>
        <v>215.31</v>
      </c>
      <c r="DG50">
        <f>ROUND(ROUND(AF50,2)*CX50,2)</f>
        <v>0</v>
      </c>
      <c r="DH50">
        <f t="shared" si="10"/>
        <v>0</v>
      </c>
      <c r="DI50">
        <f t="shared" si="11"/>
        <v>0</v>
      </c>
      <c r="DJ50">
        <f>DF50</f>
        <v>215.31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>
      <c r="A51">
        <f>ROW(Source!A40)</f>
        <v>40</v>
      </c>
      <c r="B51">
        <v>46261364</v>
      </c>
      <c r="C51">
        <v>46261226</v>
      </c>
      <c r="D51">
        <v>39552309</v>
      </c>
      <c r="E51">
        <v>1</v>
      </c>
      <c r="F51">
        <v>1</v>
      </c>
      <c r="G51">
        <v>1</v>
      </c>
      <c r="H51">
        <v>3</v>
      </c>
      <c r="I51" t="s">
        <v>135</v>
      </c>
      <c r="J51" t="s">
        <v>137</v>
      </c>
      <c r="K51" t="s">
        <v>136</v>
      </c>
      <c r="L51">
        <v>1339</v>
      </c>
      <c r="N51">
        <v>1007</v>
      </c>
      <c r="O51" t="s">
        <v>75</v>
      </c>
      <c r="P51" t="s">
        <v>75</v>
      </c>
      <c r="Q51">
        <v>1</v>
      </c>
      <c r="W51">
        <v>0</v>
      </c>
      <c r="X51">
        <v>1614832778</v>
      </c>
      <c r="Y51">
        <f>AT51</f>
        <v>102</v>
      </c>
      <c r="AA51">
        <v>7235.73</v>
      </c>
      <c r="AB51">
        <v>0</v>
      </c>
      <c r="AC51">
        <v>0</v>
      </c>
      <c r="AD51">
        <v>0</v>
      </c>
      <c r="AE51">
        <v>4955.9799999999996</v>
      </c>
      <c r="AF51">
        <v>0</v>
      </c>
      <c r="AG51">
        <v>0</v>
      </c>
      <c r="AH51">
        <v>0</v>
      </c>
      <c r="AI51">
        <v>1.46</v>
      </c>
      <c r="AJ51">
        <v>1</v>
      </c>
      <c r="AK51">
        <v>1</v>
      </c>
      <c r="AL51">
        <v>1</v>
      </c>
      <c r="AM51">
        <v>2</v>
      </c>
      <c r="AN51">
        <v>0</v>
      </c>
      <c r="AO51">
        <v>0</v>
      </c>
      <c r="AP51">
        <v>1</v>
      </c>
      <c r="AQ51">
        <v>0</v>
      </c>
      <c r="AR51">
        <v>0</v>
      </c>
      <c r="AS51" t="s">
        <v>3</v>
      </c>
      <c r="AT51">
        <v>102</v>
      </c>
      <c r="AU51" t="s">
        <v>3</v>
      </c>
      <c r="AV51">
        <v>0</v>
      </c>
      <c r="AW51">
        <v>1</v>
      </c>
      <c r="AX51">
        <v>-1</v>
      </c>
      <c r="AY51">
        <v>0</v>
      </c>
      <c r="AZ51">
        <v>0</v>
      </c>
      <c r="BA51" t="s">
        <v>3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V51">
        <v>0</v>
      </c>
      <c r="CW51">
        <v>0</v>
      </c>
      <c r="CX51">
        <f>ROUND(Y51*Source!I40,7)</f>
        <v>6.1689600000000002</v>
      </c>
      <c r="CY51">
        <f>AA51</f>
        <v>7235.73</v>
      </c>
      <c r="CZ51">
        <f>AE51</f>
        <v>4955.9799999999996</v>
      </c>
      <c r="DA51">
        <f>AI51</f>
        <v>1.46</v>
      </c>
      <c r="DB51">
        <f>ROUND(ROUND(AT51*CZ51,2),6)</f>
        <v>505509.96</v>
      </c>
      <c r="DC51">
        <f>ROUND(ROUND(AT51*AG51,2),6)</f>
        <v>0</v>
      </c>
      <c r="DD51" t="s">
        <v>3</v>
      </c>
      <c r="DE51" t="s">
        <v>3</v>
      </c>
      <c r="DF51">
        <f>ROUND(ROUND(AE51*AI51,2)*CX51,2)</f>
        <v>44636.93</v>
      </c>
      <c r="DG51">
        <f>ROUND(ROUND(AF51,2)*CX51,2)</f>
        <v>0</v>
      </c>
      <c r="DH51">
        <f t="shared" si="10"/>
        <v>0</v>
      </c>
      <c r="DI51">
        <f t="shared" si="11"/>
        <v>0</v>
      </c>
      <c r="DJ51">
        <f>DF51</f>
        <v>44636.93</v>
      </c>
      <c r="DK51">
        <v>0</v>
      </c>
      <c r="DL51" t="s">
        <v>3</v>
      </c>
      <c r="DM51">
        <v>0</v>
      </c>
      <c r="DN51" t="s">
        <v>3</v>
      </c>
      <c r="DO51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R53"/>
  <sheetViews>
    <sheetView workbookViewId="0"/>
  </sheetViews>
  <sheetFormatPr defaultColWidth="9.140625" defaultRowHeight="12.75"/>
  <cols>
    <col min="1" max="256" width="9.140625" customWidth="1"/>
  </cols>
  <sheetData>
    <row r="1" spans="1:44">
      <c r="A1">
        <f>ROW(Source!A24)</f>
        <v>24</v>
      </c>
      <c r="B1">
        <v>46261379</v>
      </c>
      <c r="C1">
        <v>46261378</v>
      </c>
      <c r="D1">
        <v>44652062</v>
      </c>
      <c r="E1">
        <v>118</v>
      </c>
      <c r="F1">
        <v>1</v>
      </c>
      <c r="G1">
        <v>1</v>
      </c>
      <c r="H1">
        <v>1</v>
      </c>
      <c r="I1" t="s">
        <v>269</v>
      </c>
      <c r="J1" t="s">
        <v>3</v>
      </c>
      <c r="K1" t="s">
        <v>270</v>
      </c>
      <c r="L1">
        <v>1191</v>
      </c>
      <c r="N1">
        <v>1013</v>
      </c>
      <c r="O1" t="s">
        <v>271</v>
      </c>
      <c r="P1" t="s">
        <v>271</v>
      </c>
      <c r="Q1">
        <v>1</v>
      </c>
      <c r="X1">
        <v>2.94</v>
      </c>
      <c r="Y1">
        <v>0</v>
      </c>
      <c r="Z1">
        <v>0</v>
      </c>
      <c r="AA1">
        <v>0</v>
      </c>
      <c r="AB1">
        <v>335.1</v>
      </c>
      <c r="AC1">
        <v>0</v>
      </c>
      <c r="AD1">
        <v>1</v>
      </c>
      <c r="AE1">
        <v>1</v>
      </c>
      <c r="AF1" t="s">
        <v>3</v>
      </c>
      <c r="AG1">
        <v>2.94</v>
      </c>
      <c r="AH1">
        <v>2</v>
      </c>
      <c r="AI1">
        <v>46261379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>
      <c r="A2">
        <f>ROW(Source!A25)</f>
        <v>25</v>
      </c>
      <c r="B2">
        <v>46261765</v>
      </c>
      <c r="C2">
        <v>46261764</v>
      </c>
      <c r="D2">
        <v>44652041</v>
      </c>
      <c r="E2">
        <v>118</v>
      </c>
      <c r="F2">
        <v>1</v>
      </c>
      <c r="G2">
        <v>1</v>
      </c>
      <c r="H2">
        <v>1</v>
      </c>
      <c r="I2" t="s">
        <v>272</v>
      </c>
      <c r="J2" t="s">
        <v>3</v>
      </c>
      <c r="K2" t="s">
        <v>273</v>
      </c>
      <c r="L2">
        <v>1191</v>
      </c>
      <c r="N2">
        <v>1013</v>
      </c>
      <c r="O2" t="s">
        <v>271</v>
      </c>
      <c r="P2" t="s">
        <v>271</v>
      </c>
      <c r="Q2">
        <v>1</v>
      </c>
      <c r="X2">
        <v>8.6</v>
      </c>
      <c r="Y2">
        <v>0</v>
      </c>
      <c r="Z2">
        <v>0</v>
      </c>
      <c r="AA2">
        <v>0</v>
      </c>
      <c r="AB2">
        <v>320.41000000000003</v>
      </c>
      <c r="AC2">
        <v>0</v>
      </c>
      <c r="AD2">
        <v>1</v>
      </c>
      <c r="AE2">
        <v>1</v>
      </c>
      <c r="AF2" t="s">
        <v>3</v>
      </c>
      <c r="AG2">
        <v>8.6</v>
      </c>
      <c r="AH2">
        <v>2</v>
      </c>
      <c r="AI2">
        <v>46261765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>
      <c r="A3">
        <f>ROW(Source!A25)</f>
        <v>25</v>
      </c>
      <c r="B3">
        <v>46261766</v>
      </c>
      <c r="C3">
        <v>46261764</v>
      </c>
      <c r="D3">
        <v>44652282</v>
      </c>
      <c r="E3">
        <v>118</v>
      </c>
      <c r="F3">
        <v>1</v>
      </c>
      <c r="G3">
        <v>1</v>
      </c>
      <c r="H3">
        <v>1</v>
      </c>
      <c r="I3" t="s">
        <v>274</v>
      </c>
      <c r="J3" t="s">
        <v>3</v>
      </c>
      <c r="K3" t="s">
        <v>275</v>
      </c>
      <c r="L3">
        <v>1191</v>
      </c>
      <c r="N3">
        <v>1013</v>
      </c>
      <c r="O3" t="s">
        <v>271</v>
      </c>
      <c r="P3" t="s">
        <v>271</v>
      </c>
      <c r="Q3">
        <v>1</v>
      </c>
      <c r="X3">
        <v>24.93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2</v>
      </c>
      <c r="AF3" t="s">
        <v>3</v>
      </c>
      <c r="AG3">
        <v>24.93</v>
      </c>
      <c r="AH3">
        <v>2</v>
      </c>
      <c r="AI3">
        <v>46261766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>
      <c r="A4">
        <f>ROW(Source!A25)</f>
        <v>25</v>
      </c>
      <c r="B4">
        <v>46261767</v>
      </c>
      <c r="C4">
        <v>46261764</v>
      </c>
      <c r="D4">
        <v>44778298</v>
      </c>
      <c r="E4">
        <v>1</v>
      </c>
      <c r="F4">
        <v>1</v>
      </c>
      <c r="G4">
        <v>1</v>
      </c>
      <c r="H4">
        <v>2</v>
      </c>
      <c r="I4" t="s">
        <v>276</v>
      </c>
      <c r="J4" t="s">
        <v>277</v>
      </c>
      <c r="K4" t="s">
        <v>278</v>
      </c>
      <c r="L4">
        <v>1368</v>
      </c>
      <c r="N4">
        <v>1011</v>
      </c>
      <c r="O4" t="s">
        <v>279</v>
      </c>
      <c r="P4" t="s">
        <v>279</v>
      </c>
      <c r="Q4">
        <v>1</v>
      </c>
      <c r="X4">
        <v>6.23</v>
      </c>
      <c r="Y4">
        <v>0</v>
      </c>
      <c r="Z4">
        <v>887.54</v>
      </c>
      <c r="AA4">
        <v>529.11</v>
      </c>
      <c r="AB4">
        <v>0</v>
      </c>
      <c r="AC4">
        <v>0</v>
      </c>
      <c r="AD4">
        <v>1</v>
      </c>
      <c r="AE4">
        <v>0</v>
      </c>
      <c r="AF4" t="s">
        <v>3</v>
      </c>
      <c r="AG4">
        <v>6.23</v>
      </c>
      <c r="AH4">
        <v>2</v>
      </c>
      <c r="AI4">
        <v>46261767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>
      <c r="A5">
        <f>ROW(Source!A25)</f>
        <v>25</v>
      </c>
      <c r="B5">
        <v>46261768</v>
      </c>
      <c r="C5">
        <v>46261764</v>
      </c>
      <c r="D5">
        <v>44778351</v>
      </c>
      <c r="E5">
        <v>1</v>
      </c>
      <c r="F5">
        <v>1</v>
      </c>
      <c r="G5">
        <v>1</v>
      </c>
      <c r="H5">
        <v>2</v>
      </c>
      <c r="I5" t="s">
        <v>281</v>
      </c>
      <c r="J5" t="s">
        <v>282</v>
      </c>
      <c r="K5" t="s">
        <v>283</v>
      </c>
      <c r="L5">
        <v>1368</v>
      </c>
      <c r="N5">
        <v>1011</v>
      </c>
      <c r="O5" t="s">
        <v>279</v>
      </c>
      <c r="P5" t="s">
        <v>279</v>
      </c>
      <c r="Q5">
        <v>1</v>
      </c>
      <c r="X5">
        <v>18.7</v>
      </c>
      <c r="Y5">
        <v>0</v>
      </c>
      <c r="Z5">
        <v>1736.45</v>
      </c>
      <c r="AA5">
        <v>529.11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18.7</v>
      </c>
      <c r="AH5">
        <v>2</v>
      </c>
      <c r="AI5">
        <v>46261768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>
      <c r="A6">
        <f>ROW(Source!A25)</f>
        <v>25</v>
      </c>
      <c r="B6">
        <v>46261769</v>
      </c>
      <c r="C6">
        <v>46261764</v>
      </c>
      <c r="D6">
        <v>44731785</v>
      </c>
      <c r="E6">
        <v>1</v>
      </c>
      <c r="F6">
        <v>1</v>
      </c>
      <c r="G6">
        <v>1</v>
      </c>
      <c r="H6">
        <v>3</v>
      </c>
      <c r="I6" t="s">
        <v>284</v>
      </c>
      <c r="J6" t="s">
        <v>285</v>
      </c>
      <c r="K6" t="s">
        <v>286</v>
      </c>
      <c r="L6">
        <v>1339</v>
      </c>
      <c r="N6">
        <v>1007</v>
      </c>
      <c r="O6" t="s">
        <v>75</v>
      </c>
      <c r="P6" t="s">
        <v>75</v>
      </c>
      <c r="Q6">
        <v>1</v>
      </c>
      <c r="X6">
        <v>0.05</v>
      </c>
      <c r="Y6">
        <v>2184.44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 t="s">
        <v>3</v>
      </c>
      <c r="AG6">
        <v>0.05</v>
      </c>
      <c r="AH6">
        <v>2</v>
      </c>
      <c r="AI6">
        <v>46261769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>
      <c r="A7">
        <f>ROW(Source!A27)</f>
        <v>27</v>
      </c>
      <c r="B7">
        <v>46262821</v>
      </c>
      <c r="C7">
        <v>46262820</v>
      </c>
      <c r="D7">
        <v>44652237</v>
      </c>
      <c r="E7">
        <v>118</v>
      </c>
      <c r="F7">
        <v>1</v>
      </c>
      <c r="G7">
        <v>1</v>
      </c>
      <c r="H7">
        <v>1</v>
      </c>
      <c r="I7" t="s">
        <v>287</v>
      </c>
      <c r="J7" t="s">
        <v>3</v>
      </c>
      <c r="K7" t="s">
        <v>288</v>
      </c>
      <c r="L7">
        <v>1369</v>
      </c>
      <c r="N7">
        <v>1013</v>
      </c>
      <c r="O7" t="s">
        <v>289</v>
      </c>
      <c r="P7" t="s">
        <v>289</v>
      </c>
      <c r="Q7">
        <v>1</v>
      </c>
      <c r="X7">
        <v>77.25</v>
      </c>
      <c r="Y7">
        <v>0</v>
      </c>
      <c r="Z7">
        <v>0</v>
      </c>
      <c r="AA7">
        <v>0</v>
      </c>
      <c r="AB7">
        <v>320.41000000000003</v>
      </c>
      <c r="AC7">
        <v>0</v>
      </c>
      <c r="AD7">
        <v>1</v>
      </c>
      <c r="AE7">
        <v>1</v>
      </c>
      <c r="AF7" t="s">
        <v>3</v>
      </c>
      <c r="AG7">
        <v>77.25</v>
      </c>
      <c r="AH7">
        <v>2</v>
      </c>
      <c r="AI7">
        <v>46262821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>
      <c r="A8">
        <f>ROW(Source!A27)</f>
        <v>27</v>
      </c>
      <c r="B8">
        <v>46262822</v>
      </c>
      <c r="C8">
        <v>46262820</v>
      </c>
      <c r="D8">
        <v>44652239</v>
      </c>
      <c r="E8">
        <v>118</v>
      </c>
      <c r="F8">
        <v>1</v>
      </c>
      <c r="G8">
        <v>1</v>
      </c>
      <c r="H8">
        <v>1</v>
      </c>
      <c r="I8" t="s">
        <v>290</v>
      </c>
      <c r="J8" t="s">
        <v>3</v>
      </c>
      <c r="K8" t="s">
        <v>291</v>
      </c>
      <c r="L8">
        <v>1369</v>
      </c>
      <c r="N8">
        <v>1013</v>
      </c>
      <c r="O8" t="s">
        <v>289</v>
      </c>
      <c r="P8" t="s">
        <v>289</v>
      </c>
      <c r="Q8">
        <v>1</v>
      </c>
      <c r="X8">
        <v>77.25</v>
      </c>
      <c r="Y8">
        <v>0</v>
      </c>
      <c r="Z8">
        <v>0</v>
      </c>
      <c r="AA8">
        <v>0</v>
      </c>
      <c r="AB8">
        <v>349.8</v>
      </c>
      <c r="AC8">
        <v>0</v>
      </c>
      <c r="AD8">
        <v>1</v>
      </c>
      <c r="AE8">
        <v>1</v>
      </c>
      <c r="AF8" t="s">
        <v>3</v>
      </c>
      <c r="AG8">
        <v>77.25</v>
      </c>
      <c r="AH8">
        <v>2</v>
      </c>
      <c r="AI8">
        <v>46262822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>
      <c r="A9">
        <f>ROW(Source!A27)</f>
        <v>27</v>
      </c>
      <c r="B9">
        <v>46262823</v>
      </c>
      <c r="C9">
        <v>46262820</v>
      </c>
      <c r="D9">
        <v>44652282</v>
      </c>
      <c r="E9">
        <v>118</v>
      </c>
      <c r="F9">
        <v>1</v>
      </c>
      <c r="G9">
        <v>1</v>
      </c>
      <c r="H9">
        <v>1</v>
      </c>
      <c r="I9" t="s">
        <v>274</v>
      </c>
      <c r="J9" t="s">
        <v>3</v>
      </c>
      <c r="K9" t="s">
        <v>275</v>
      </c>
      <c r="L9">
        <v>1191</v>
      </c>
      <c r="N9">
        <v>1013</v>
      </c>
      <c r="O9" t="s">
        <v>271</v>
      </c>
      <c r="P9" t="s">
        <v>271</v>
      </c>
      <c r="Q9">
        <v>1</v>
      </c>
      <c r="X9">
        <v>37.5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2</v>
      </c>
      <c r="AF9" t="s">
        <v>3</v>
      </c>
      <c r="AG9">
        <v>37.5</v>
      </c>
      <c r="AH9">
        <v>2</v>
      </c>
      <c r="AI9">
        <v>46262823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>
      <c r="A10">
        <f>ROW(Source!A27)</f>
        <v>27</v>
      </c>
      <c r="B10">
        <v>46262824</v>
      </c>
      <c r="C10">
        <v>46262820</v>
      </c>
      <c r="D10">
        <v>44779851</v>
      </c>
      <c r="E10">
        <v>1</v>
      </c>
      <c r="F10">
        <v>1</v>
      </c>
      <c r="G10">
        <v>1</v>
      </c>
      <c r="H10">
        <v>2</v>
      </c>
      <c r="I10" t="s">
        <v>292</v>
      </c>
      <c r="J10" t="s">
        <v>293</v>
      </c>
      <c r="K10" t="s">
        <v>294</v>
      </c>
      <c r="L10">
        <v>1368</v>
      </c>
      <c r="N10">
        <v>1011</v>
      </c>
      <c r="O10" t="s">
        <v>279</v>
      </c>
      <c r="P10" t="s">
        <v>279</v>
      </c>
      <c r="Q10">
        <v>1</v>
      </c>
      <c r="X10">
        <v>37.5</v>
      </c>
      <c r="Y10">
        <v>0</v>
      </c>
      <c r="Z10">
        <v>404.41</v>
      </c>
      <c r="AA10">
        <v>393.89</v>
      </c>
      <c r="AB10">
        <v>0</v>
      </c>
      <c r="AC10">
        <v>0</v>
      </c>
      <c r="AD10">
        <v>1</v>
      </c>
      <c r="AE10">
        <v>0</v>
      </c>
      <c r="AF10" t="s">
        <v>3</v>
      </c>
      <c r="AG10">
        <v>37.5</v>
      </c>
      <c r="AH10">
        <v>2</v>
      </c>
      <c r="AI10">
        <v>46262824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>
      <c r="A11">
        <f>ROW(Source!A27)</f>
        <v>27</v>
      </c>
      <c r="B11">
        <v>46262825</v>
      </c>
      <c r="C11">
        <v>46262820</v>
      </c>
      <c r="D11">
        <v>44780255</v>
      </c>
      <c r="E11">
        <v>1</v>
      </c>
      <c r="F11">
        <v>1</v>
      </c>
      <c r="G11">
        <v>1</v>
      </c>
      <c r="H11">
        <v>2</v>
      </c>
      <c r="I11" t="s">
        <v>296</v>
      </c>
      <c r="J11" t="s">
        <v>297</v>
      </c>
      <c r="K11" t="s">
        <v>298</v>
      </c>
      <c r="L11">
        <v>1368</v>
      </c>
      <c r="N11">
        <v>1011</v>
      </c>
      <c r="O11" t="s">
        <v>279</v>
      </c>
      <c r="P11" t="s">
        <v>279</v>
      </c>
      <c r="Q11">
        <v>1</v>
      </c>
      <c r="X11">
        <v>75</v>
      </c>
      <c r="Y11">
        <v>0</v>
      </c>
      <c r="Z11">
        <v>2.11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75</v>
      </c>
      <c r="AH11">
        <v>2</v>
      </c>
      <c r="AI11">
        <v>46262825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>
      <c r="A12">
        <f>ROW(Source!A27)</f>
        <v>27</v>
      </c>
      <c r="B12">
        <v>46262826</v>
      </c>
      <c r="C12">
        <v>46262820</v>
      </c>
      <c r="D12">
        <v>44658340</v>
      </c>
      <c r="E12">
        <v>118</v>
      </c>
      <c r="F12">
        <v>1</v>
      </c>
      <c r="G12">
        <v>1</v>
      </c>
      <c r="H12">
        <v>3</v>
      </c>
      <c r="I12" t="s">
        <v>356</v>
      </c>
      <c r="J12" t="s">
        <v>3</v>
      </c>
      <c r="K12" t="s">
        <v>357</v>
      </c>
      <c r="L12">
        <v>1348</v>
      </c>
      <c r="N12">
        <v>1009</v>
      </c>
      <c r="O12" t="s">
        <v>90</v>
      </c>
      <c r="P12" t="s">
        <v>90</v>
      </c>
      <c r="Q12">
        <v>1000</v>
      </c>
      <c r="X12">
        <v>240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3</v>
      </c>
      <c r="AG12">
        <v>240</v>
      </c>
      <c r="AH12">
        <v>3</v>
      </c>
      <c r="AI12">
        <v>-1</v>
      </c>
      <c r="AJ12" t="s">
        <v>3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>
      <c r="A13">
        <f>ROW(Source!A28)</f>
        <v>28</v>
      </c>
      <c r="B13">
        <v>46261163</v>
      </c>
      <c r="C13">
        <v>46261161</v>
      </c>
      <c r="D13">
        <v>39474919</v>
      </c>
      <c r="E13">
        <v>116</v>
      </c>
      <c r="F13">
        <v>1</v>
      </c>
      <c r="G13">
        <v>1</v>
      </c>
      <c r="H13">
        <v>1</v>
      </c>
      <c r="I13" t="s">
        <v>272</v>
      </c>
      <c r="J13" t="s">
        <v>3</v>
      </c>
      <c r="K13" t="s">
        <v>273</v>
      </c>
      <c r="L13">
        <v>1191</v>
      </c>
      <c r="N13">
        <v>1013</v>
      </c>
      <c r="O13" t="s">
        <v>271</v>
      </c>
      <c r="P13" t="s">
        <v>271</v>
      </c>
      <c r="Q13">
        <v>1</v>
      </c>
      <c r="X13">
        <v>248</v>
      </c>
      <c r="Y13">
        <v>0</v>
      </c>
      <c r="Z13">
        <v>0</v>
      </c>
      <c r="AA13">
        <v>0</v>
      </c>
      <c r="AB13">
        <v>294.35000000000002</v>
      </c>
      <c r="AC13">
        <v>0</v>
      </c>
      <c r="AD13">
        <v>1</v>
      </c>
      <c r="AE13">
        <v>1</v>
      </c>
      <c r="AF13" t="s">
        <v>3</v>
      </c>
      <c r="AG13">
        <v>248</v>
      </c>
      <c r="AH13">
        <v>2</v>
      </c>
      <c r="AI13">
        <v>46261162</v>
      </c>
      <c r="AJ13">
        <v>12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>
      <c r="A14">
        <f>ROW(Source!A29)</f>
        <v>29</v>
      </c>
      <c r="B14">
        <v>46262994</v>
      </c>
      <c r="C14">
        <v>46262993</v>
      </c>
      <c r="D14">
        <v>44652105</v>
      </c>
      <c r="E14">
        <v>118</v>
      </c>
      <c r="F14">
        <v>1</v>
      </c>
      <c r="G14">
        <v>1</v>
      </c>
      <c r="H14">
        <v>1</v>
      </c>
      <c r="I14" t="s">
        <v>299</v>
      </c>
      <c r="J14" t="s">
        <v>3</v>
      </c>
      <c r="K14" t="s">
        <v>300</v>
      </c>
      <c r="L14">
        <v>1191</v>
      </c>
      <c r="N14">
        <v>1013</v>
      </c>
      <c r="O14" t="s">
        <v>271</v>
      </c>
      <c r="P14" t="s">
        <v>271</v>
      </c>
      <c r="Q14">
        <v>1</v>
      </c>
      <c r="X14">
        <v>61.1</v>
      </c>
      <c r="Y14">
        <v>0</v>
      </c>
      <c r="Z14">
        <v>0</v>
      </c>
      <c r="AA14">
        <v>0</v>
      </c>
      <c r="AB14">
        <v>393.89</v>
      </c>
      <c r="AC14">
        <v>0</v>
      </c>
      <c r="AD14">
        <v>1</v>
      </c>
      <c r="AE14">
        <v>1</v>
      </c>
      <c r="AF14" t="s">
        <v>65</v>
      </c>
      <c r="AG14">
        <v>70.265000000000001</v>
      </c>
      <c r="AH14">
        <v>2</v>
      </c>
      <c r="AI14">
        <v>46262994</v>
      </c>
      <c r="AJ14">
        <v>13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>
      <c r="A15">
        <f>ROW(Source!A29)</f>
        <v>29</v>
      </c>
      <c r="B15">
        <v>46262995</v>
      </c>
      <c r="C15">
        <v>46262993</v>
      </c>
      <c r="D15">
        <v>44778880</v>
      </c>
      <c r="E15">
        <v>1</v>
      </c>
      <c r="F15">
        <v>1</v>
      </c>
      <c r="G15">
        <v>1</v>
      </c>
      <c r="H15">
        <v>2</v>
      </c>
      <c r="I15" t="s">
        <v>301</v>
      </c>
      <c r="J15" t="s">
        <v>302</v>
      </c>
      <c r="K15" t="s">
        <v>303</v>
      </c>
      <c r="L15">
        <v>1368</v>
      </c>
      <c r="N15">
        <v>1011</v>
      </c>
      <c r="O15" t="s">
        <v>279</v>
      </c>
      <c r="P15" t="s">
        <v>279</v>
      </c>
      <c r="Q15">
        <v>1</v>
      </c>
      <c r="X15">
        <v>0.9</v>
      </c>
      <c r="Y15">
        <v>0</v>
      </c>
      <c r="Z15">
        <v>8.84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64</v>
      </c>
      <c r="AG15">
        <v>1.125</v>
      </c>
      <c r="AH15">
        <v>2</v>
      </c>
      <c r="AI15">
        <v>46262995</v>
      </c>
      <c r="AJ15">
        <v>14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>
      <c r="A16">
        <f>ROW(Source!A29)</f>
        <v>29</v>
      </c>
      <c r="B16">
        <v>46262996</v>
      </c>
      <c r="C16">
        <v>46262993</v>
      </c>
      <c r="D16">
        <v>44779022</v>
      </c>
      <c r="E16">
        <v>1</v>
      </c>
      <c r="F16">
        <v>1</v>
      </c>
      <c r="G16">
        <v>1</v>
      </c>
      <c r="H16">
        <v>2</v>
      </c>
      <c r="I16" t="s">
        <v>304</v>
      </c>
      <c r="J16" t="s">
        <v>305</v>
      </c>
      <c r="K16" t="s">
        <v>306</v>
      </c>
      <c r="L16">
        <v>1368</v>
      </c>
      <c r="N16">
        <v>1011</v>
      </c>
      <c r="O16" t="s">
        <v>279</v>
      </c>
      <c r="P16" t="s">
        <v>279</v>
      </c>
      <c r="Q16">
        <v>1</v>
      </c>
      <c r="X16">
        <v>2.4</v>
      </c>
      <c r="Y16">
        <v>0</v>
      </c>
      <c r="Z16">
        <v>25.3</v>
      </c>
      <c r="AA16">
        <v>0</v>
      </c>
      <c r="AB16">
        <v>0</v>
      </c>
      <c r="AC16">
        <v>0</v>
      </c>
      <c r="AD16">
        <v>1</v>
      </c>
      <c r="AE16">
        <v>0</v>
      </c>
      <c r="AF16" t="s">
        <v>64</v>
      </c>
      <c r="AG16">
        <v>3</v>
      </c>
      <c r="AH16">
        <v>2</v>
      </c>
      <c r="AI16">
        <v>46262996</v>
      </c>
      <c r="AJ16">
        <v>15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>
      <c r="A17">
        <f>ROW(Source!A29)</f>
        <v>29</v>
      </c>
      <c r="B17">
        <v>46262997</v>
      </c>
      <c r="C17">
        <v>46262993</v>
      </c>
      <c r="D17">
        <v>44728845</v>
      </c>
      <c r="E17">
        <v>1</v>
      </c>
      <c r="F17">
        <v>1</v>
      </c>
      <c r="G17">
        <v>1</v>
      </c>
      <c r="H17">
        <v>3</v>
      </c>
      <c r="I17" t="s">
        <v>307</v>
      </c>
      <c r="J17" t="s">
        <v>308</v>
      </c>
      <c r="K17" t="s">
        <v>309</v>
      </c>
      <c r="L17">
        <v>1339</v>
      </c>
      <c r="N17">
        <v>1007</v>
      </c>
      <c r="O17" t="s">
        <v>75</v>
      </c>
      <c r="P17" t="s">
        <v>75</v>
      </c>
      <c r="Q17">
        <v>1</v>
      </c>
      <c r="X17">
        <v>0.35</v>
      </c>
      <c r="Y17">
        <v>35.71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0.35</v>
      </c>
      <c r="AH17">
        <v>2</v>
      </c>
      <c r="AI17">
        <v>46262997</v>
      </c>
      <c r="AJ17">
        <v>16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>
      <c r="A18">
        <f>ROW(Source!A29)</f>
        <v>29</v>
      </c>
      <c r="B18">
        <v>46262998</v>
      </c>
      <c r="C18">
        <v>46262993</v>
      </c>
      <c r="D18">
        <v>44653602</v>
      </c>
      <c r="E18">
        <v>118</v>
      </c>
      <c r="F18">
        <v>1</v>
      </c>
      <c r="G18">
        <v>1</v>
      </c>
      <c r="H18">
        <v>3</v>
      </c>
      <c r="I18" t="s">
        <v>358</v>
      </c>
      <c r="J18" t="s">
        <v>3</v>
      </c>
      <c r="K18" t="s">
        <v>359</v>
      </c>
      <c r="L18">
        <v>1339</v>
      </c>
      <c r="N18">
        <v>1007</v>
      </c>
      <c r="O18" t="s">
        <v>75</v>
      </c>
      <c r="P18" t="s">
        <v>75</v>
      </c>
      <c r="Q18">
        <v>1</v>
      </c>
      <c r="X18">
        <v>1.89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3</v>
      </c>
      <c r="AG18">
        <v>1.89</v>
      </c>
      <c r="AH18">
        <v>3</v>
      </c>
      <c r="AI18">
        <v>-1</v>
      </c>
      <c r="AJ18" t="s">
        <v>3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>
      <c r="A19">
        <f>ROW(Source!A31)</f>
        <v>31</v>
      </c>
      <c r="B19">
        <v>46261173</v>
      </c>
      <c r="C19">
        <v>46261164</v>
      </c>
      <c r="D19">
        <v>39474981</v>
      </c>
      <c r="E19">
        <v>116</v>
      </c>
      <c r="F19">
        <v>1</v>
      </c>
      <c r="G19">
        <v>1</v>
      </c>
      <c r="H19">
        <v>1</v>
      </c>
      <c r="I19" t="s">
        <v>310</v>
      </c>
      <c r="J19" t="s">
        <v>3</v>
      </c>
      <c r="K19" t="s">
        <v>311</v>
      </c>
      <c r="L19">
        <v>1191</v>
      </c>
      <c r="N19">
        <v>1013</v>
      </c>
      <c r="O19" t="s">
        <v>271</v>
      </c>
      <c r="P19" t="s">
        <v>271</v>
      </c>
      <c r="Q19">
        <v>1</v>
      </c>
      <c r="X19">
        <v>21.2</v>
      </c>
      <c r="Y19">
        <v>0</v>
      </c>
      <c r="Z19">
        <v>0</v>
      </c>
      <c r="AA19">
        <v>0</v>
      </c>
      <c r="AB19">
        <v>357.82</v>
      </c>
      <c r="AC19">
        <v>0</v>
      </c>
      <c r="AD19">
        <v>1</v>
      </c>
      <c r="AE19">
        <v>1</v>
      </c>
      <c r="AF19" t="s">
        <v>82</v>
      </c>
      <c r="AG19">
        <v>28.036999999999995</v>
      </c>
      <c r="AH19">
        <v>2</v>
      </c>
      <c r="AI19">
        <v>46261165</v>
      </c>
      <c r="AJ19">
        <v>18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>
      <c r="A20">
        <f>ROW(Source!A31)</f>
        <v>31</v>
      </c>
      <c r="B20">
        <v>46261174</v>
      </c>
      <c r="C20">
        <v>46261164</v>
      </c>
      <c r="D20">
        <v>39475155</v>
      </c>
      <c r="E20">
        <v>116</v>
      </c>
      <c r="F20">
        <v>1</v>
      </c>
      <c r="G20">
        <v>1</v>
      </c>
      <c r="H20">
        <v>1</v>
      </c>
      <c r="I20" t="s">
        <v>274</v>
      </c>
      <c r="J20" t="s">
        <v>3</v>
      </c>
      <c r="K20" t="s">
        <v>275</v>
      </c>
      <c r="L20">
        <v>1191</v>
      </c>
      <c r="N20">
        <v>1013</v>
      </c>
      <c r="O20" t="s">
        <v>271</v>
      </c>
      <c r="P20" t="s">
        <v>271</v>
      </c>
      <c r="Q20">
        <v>1</v>
      </c>
      <c r="X20">
        <v>0.2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2</v>
      </c>
      <c r="AF20" t="s">
        <v>81</v>
      </c>
      <c r="AG20">
        <v>0.28749999999999998</v>
      </c>
      <c r="AH20">
        <v>2</v>
      </c>
      <c r="AI20">
        <v>46261166</v>
      </c>
      <c r="AJ20">
        <v>19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>
      <c r="A21">
        <f>ROW(Source!A31)</f>
        <v>31</v>
      </c>
      <c r="B21">
        <v>46261175</v>
      </c>
      <c r="C21">
        <v>46261164</v>
      </c>
      <c r="D21">
        <v>39600287</v>
      </c>
      <c r="E21">
        <v>1</v>
      </c>
      <c r="F21">
        <v>1</v>
      </c>
      <c r="G21">
        <v>1</v>
      </c>
      <c r="H21">
        <v>2</v>
      </c>
      <c r="I21" t="s">
        <v>312</v>
      </c>
      <c r="J21" t="s">
        <v>313</v>
      </c>
      <c r="K21" t="s">
        <v>314</v>
      </c>
      <c r="L21">
        <v>1368</v>
      </c>
      <c r="N21">
        <v>1011</v>
      </c>
      <c r="O21" t="s">
        <v>279</v>
      </c>
      <c r="P21" t="s">
        <v>279</v>
      </c>
      <c r="Q21">
        <v>1</v>
      </c>
      <c r="X21">
        <v>1.95</v>
      </c>
      <c r="Y21">
        <v>0</v>
      </c>
      <c r="Z21">
        <v>95.25</v>
      </c>
      <c r="AA21">
        <v>0</v>
      </c>
      <c r="AB21">
        <v>0</v>
      </c>
      <c r="AC21">
        <v>0</v>
      </c>
      <c r="AD21">
        <v>1</v>
      </c>
      <c r="AE21">
        <v>0</v>
      </c>
      <c r="AF21" t="s">
        <v>81</v>
      </c>
      <c r="AG21">
        <v>2.8031249999999996</v>
      </c>
      <c r="AH21">
        <v>2</v>
      </c>
      <c r="AI21">
        <v>46261167</v>
      </c>
      <c r="AJ21">
        <v>20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>
      <c r="A22">
        <f>ROW(Source!A31)</f>
        <v>31</v>
      </c>
      <c r="B22">
        <v>46261176</v>
      </c>
      <c r="C22">
        <v>46261164</v>
      </c>
      <c r="D22">
        <v>39600822</v>
      </c>
      <c r="E22">
        <v>1</v>
      </c>
      <c r="F22">
        <v>1</v>
      </c>
      <c r="G22">
        <v>1</v>
      </c>
      <c r="H22">
        <v>2</v>
      </c>
      <c r="I22" t="s">
        <v>315</v>
      </c>
      <c r="J22" t="s">
        <v>316</v>
      </c>
      <c r="K22" t="s">
        <v>317</v>
      </c>
      <c r="L22">
        <v>1368</v>
      </c>
      <c r="N22">
        <v>1011</v>
      </c>
      <c r="O22" t="s">
        <v>279</v>
      </c>
      <c r="P22" t="s">
        <v>279</v>
      </c>
      <c r="Q22">
        <v>1</v>
      </c>
      <c r="X22">
        <v>0.2</v>
      </c>
      <c r="Y22">
        <v>0</v>
      </c>
      <c r="Z22">
        <v>680.2</v>
      </c>
      <c r="AA22">
        <v>361.87</v>
      </c>
      <c r="AB22">
        <v>0</v>
      </c>
      <c r="AC22">
        <v>0</v>
      </c>
      <c r="AD22">
        <v>1</v>
      </c>
      <c r="AE22">
        <v>0</v>
      </c>
      <c r="AF22" t="s">
        <v>81</v>
      </c>
      <c r="AG22">
        <v>0.28749999999999998</v>
      </c>
      <c r="AH22">
        <v>2</v>
      </c>
      <c r="AI22">
        <v>46261168</v>
      </c>
      <c r="AJ22">
        <v>21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>
      <c r="A23">
        <f>ROW(Source!A31)</f>
        <v>31</v>
      </c>
      <c r="B23">
        <v>46261177</v>
      </c>
      <c r="C23">
        <v>46261164</v>
      </c>
      <c r="D23">
        <v>39474940</v>
      </c>
      <c r="E23">
        <v>116</v>
      </c>
      <c r="F23">
        <v>1</v>
      </c>
      <c r="G23">
        <v>1</v>
      </c>
      <c r="H23">
        <v>3</v>
      </c>
      <c r="I23" t="s">
        <v>360</v>
      </c>
      <c r="J23" t="s">
        <v>3</v>
      </c>
      <c r="K23" t="s">
        <v>361</v>
      </c>
      <c r="L23">
        <v>1348</v>
      </c>
      <c r="N23">
        <v>1009</v>
      </c>
      <c r="O23" t="s">
        <v>90</v>
      </c>
      <c r="P23" t="s">
        <v>90</v>
      </c>
      <c r="Q23">
        <v>1000</v>
      </c>
      <c r="X23">
        <v>1.6E-2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 t="s">
        <v>3</v>
      </c>
      <c r="AG23">
        <v>1.6E-2</v>
      </c>
      <c r="AH23">
        <v>3</v>
      </c>
      <c r="AI23">
        <v>-1</v>
      </c>
      <c r="AJ23" t="s">
        <v>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>
      <c r="A24">
        <f>ROW(Source!A31)</f>
        <v>31</v>
      </c>
      <c r="B24">
        <v>46261178</v>
      </c>
      <c r="C24">
        <v>46261164</v>
      </c>
      <c r="D24">
        <v>39474958</v>
      </c>
      <c r="E24">
        <v>116</v>
      </c>
      <c r="F24">
        <v>1</v>
      </c>
      <c r="G24">
        <v>1</v>
      </c>
      <c r="H24">
        <v>3</v>
      </c>
      <c r="I24" t="s">
        <v>362</v>
      </c>
      <c r="J24" t="s">
        <v>3</v>
      </c>
      <c r="K24" t="s">
        <v>363</v>
      </c>
      <c r="L24">
        <v>1348</v>
      </c>
      <c r="N24">
        <v>1009</v>
      </c>
      <c r="O24" t="s">
        <v>90</v>
      </c>
      <c r="P24" t="s">
        <v>90</v>
      </c>
      <c r="Q24">
        <v>1000</v>
      </c>
      <c r="X24">
        <v>0.24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 t="s">
        <v>3</v>
      </c>
      <c r="AG24">
        <v>0.24</v>
      </c>
      <c r="AH24">
        <v>3</v>
      </c>
      <c r="AI24">
        <v>-1</v>
      </c>
      <c r="AJ24" t="s">
        <v>3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>
      <c r="A25">
        <f>ROW(Source!A31)</f>
        <v>31</v>
      </c>
      <c r="B25">
        <v>46261179</v>
      </c>
      <c r="C25">
        <v>46261164</v>
      </c>
      <c r="D25">
        <v>39545723</v>
      </c>
      <c r="E25">
        <v>1</v>
      </c>
      <c r="F25">
        <v>1</v>
      </c>
      <c r="G25">
        <v>1</v>
      </c>
      <c r="H25">
        <v>3</v>
      </c>
      <c r="I25" t="s">
        <v>318</v>
      </c>
      <c r="J25" t="s">
        <v>319</v>
      </c>
      <c r="K25" t="s">
        <v>320</v>
      </c>
      <c r="L25">
        <v>1348</v>
      </c>
      <c r="N25">
        <v>1009</v>
      </c>
      <c r="O25" t="s">
        <v>90</v>
      </c>
      <c r="P25" t="s">
        <v>90</v>
      </c>
      <c r="Q25">
        <v>1000</v>
      </c>
      <c r="X25">
        <v>2.4E-2</v>
      </c>
      <c r="Y25">
        <v>62186.75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2.4E-2</v>
      </c>
      <c r="AH25">
        <v>2</v>
      </c>
      <c r="AI25">
        <v>46261169</v>
      </c>
      <c r="AJ25">
        <v>24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>
      <c r="A26">
        <f>ROW(Source!A31)</f>
        <v>31</v>
      </c>
      <c r="B26">
        <v>46261180</v>
      </c>
      <c r="C26">
        <v>46261164</v>
      </c>
      <c r="D26">
        <v>39551193</v>
      </c>
      <c r="E26">
        <v>1</v>
      </c>
      <c r="F26">
        <v>1</v>
      </c>
      <c r="G26">
        <v>1</v>
      </c>
      <c r="H26">
        <v>3</v>
      </c>
      <c r="I26" t="s">
        <v>321</v>
      </c>
      <c r="J26" t="s">
        <v>322</v>
      </c>
      <c r="K26" t="s">
        <v>323</v>
      </c>
      <c r="L26">
        <v>1346</v>
      </c>
      <c r="N26">
        <v>1009</v>
      </c>
      <c r="O26" t="s">
        <v>95</v>
      </c>
      <c r="P26" t="s">
        <v>95</v>
      </c>
      <c r="Q26">
        <v>1</v>
      </c>
      <c r="X26">
        <v>0.1</v>
      </c>
      <c r="Y26">
        <v>56.11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 t="s">
        <v>3</v>
      </c>
      <c r="AG26">
        <v>0.1</v>
      </c>
      <c r="AH26">
        <v>2</v>
      </c>
      <c r="AI26">
        <v>46261170</v>
      </c>
      <c r="AJ26">
        <v>25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>
      <c r="A27">
        <f>ROW(Source!A34)</f>
        <v>34</v>
      </c>
      <c r="B27">
        <v>46261192</v>
      </c>
      <c r="C27">
        <v>46261183</v>
      </c>
      <c r="D27">
        <v>39474935</v>
      </c>
      <c r="E27">
        <v>116</v>
      </c>
      <c r="F27">
        <v>1</v>
      </c>
      <c r="G27">
        <v>1</v>
      </c>
      <c r="H27">
        <v>1</v>
      </c>
      <c r="I27" t="s">
        <v>324</v>
      </c>
      <c r="J27" t="s">
        <v>3</v>
      </c>
      <c r="K27" t="s">
        <v>325</v>
      </c>
      <c r="L27">
        <v>1191</v>
      </c>
      <c r="N27">
        <v>1013</v>
      </c>
      <c r="O27" t="s">
        <v>271</v>
      </c>
      <c r="P27" t="s">
        <v>271</v>
      </c>
      <c r="Q27">
        <v>1</v>
      </c>
      <c r="X27">
        <v>14.4</v>
      </c>
      <c r="Y27">
        <v>0</v>
      </c>
      <c r="Z27">
        <v>0</v>
      </c>
      <c r="AA27">
        <v>0</v>
      </c>
      <c r="AB27">
        <v>302.45999999999998</v>
      </c>
      <c r="AC27">
        <v>0</v>
      </c>
      <c r="AD27">
        <v>1</v>
      </c>
      <c r="AE27">
        <v>1</v>
      </c>
      <c r="AF27" t="s">
        <v>82</v>
      </c>
      <c r="AG27">
        <v>19.043999999999997</v>
      </c>
      <c r="AH27">
        <v>2</v>
      </c>
      <c r="AI27">
        <v>46261184</v>
      </c>
      <c r="AJ27">
        <v>26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>
      <c r="A28">
        <f>ROW(Source!A34)</f>
        <v>34</v>
      </c>
      <c r="B28">
        <v>46261193</v>
      </c>
      <c r="C28">
        <v>46261183</v>
      </c>
      <c r="D28">
        <v>39475155</v>
      </c>
      <c r="E28">
        <v>116</v>
      </c>
      <c r="F28">
        <v>1</v>
      </c>
      <c r="G28">
        <v>1</v>
      </c>
      <c r="H28">
        <v>1</v>
      </c>
      <c r="I28" t="s">
        <v>274</v>
      </c>
      <c r="J28" t="s">
        <v>3</v>
      </c>
      <c r="K28" t="s">
        <v>275</v>
      </c>
      <c r="L28">
        <v>1191</v>
      </c>
      <c r="N28">
        <v>1013</v>
      </c>
      <c r="O28" t="s">
        <v>271</v>
      </c>
      <c r="P28" t="s">
        <v>271</v>
      </c>
      <c r="Q28">
        <v>1</v>
      </c>
      <c r="X28">
        <v>13.88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2</v>
      </c>
      <c r="AF28" t="s">
        <v>81</v>
      </c>
      <c r="AG28">
        <v>19.952500000000001</v>
      </c>
      <c r="AH28">
        <v>2</v>
      </c>
      <c r="AI28">
        <v>46261185</v>
      </c>
      <c r="AJ28">
        <v>27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>
      <c r="A29">
        <f>ROW(Source!A34)</f>
        <v>34</v>
      </c>
      <c r="B29">
        <v>46261194</v>
      </c>
      <c r="C29">
        <v>46261183</v>
      </c>
      <c r="D29">
        <v>39599492</v>
      </c>
      <c r="E29">
        <v>1</v>
      </c>
      <c r="F29">
        <v>1</v>
      </c>
      <c r="G29">
        <v>1</v>
      </c>
      <c r="H29">
        <v>2</v>
      </c>
      <c r="I29" t="s">
        <v>326</v>
      </c>
      <c r="J29" t="s">
        <v>327</v>
      </c>
      <c r="K29" t="s">
        <v>328</v>
      </c>
      <c r="L29">
        <v>1368</v>
      </c>
      <c r="N29">
        <v>1011</v>
      </c>
      <c r="O29" t="s">
        <v>279</v>
      </c>
      <c r="P29" t="s">
        <v>279</v>
      </c>
      <c r="Q29">
        <v>1</v>
      </c>
      <c r="X29">
        <v>1.77</v>
      </c>
      <c r="Y29">
        <v>0</v>
      </c>
      <c r="Z29">
        <v>1933</v>
      </c>
      <c r="AA29">
        <v>486.09</v>
      </c>
      <c r="AB29">
        <v>0</v>
      </c>
      <c r="AC29">
        <v>0</v>
      </c>
      <c r="AD29">
        <v>1</v>
      </c>
      <c r="AE29">
        <v>0</v>
      </c>
      <c r="AF29" t="s">
        <v>81</v>
      </c>
      <c r="AG29">
        <v>2.5443749999999996</v>
      </c>
      <c r="AH29">
        <v>2</v>
      </c>
      <c r="AI29">
        <v>46261186</v>
      </c>
      <c r="AJ29">
        <v>28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>
      <c r="A30">
        <f>ROW(Source!A34)</f>
        <v>34</v>
      </c>
      <c r="B30">
        <v>46261195</v>
      </c>
      <c r="C30">
        <v>46261183</v>
      </c>
      <c r="D30">
        <v>39600075</v>
      </c>
      <c r="E30">
        <v>1</v>
      </c>
      <c r="F30">
        <v>1</v>
      </c>
      <c r="G30">
        <v>1</v>
      </c>
      <c r="H30">
        <v>2</v>
      </c>
      <c r="I30" t="s">
        <v>329</v>
      </c>
      <c r="J30" t="s">
        <v>330</v>
      </c>
      <c r="K30" t="s">
        <v>331</v>
      </c>
      <c r="L30">
        <v>1368</v>
      </c>
      <c r="N30">
        <v>1011</v>
      </c>
      <c r="O30" t="s">
        <v>279</v>
      </c>
      <c r="P30" t="s">
        <v>279</v>
      </c>
      <c r="Q30">
        <v>1</v>
      </c>
      <c r="X30">
        <v>4.29</v>
      </c>
      <c r="Y30">
        <v>0</v>
      </c>
      <c r="Z30">
        <v>1658.14</v>
      </c>
      <c r="AA30">
        <v>415.88</v>
      </c>
      <c r="AB30">
        <v>0</v>
      </c>
      <c r="AC30">
        <v>0</v>
      </c>
      <c r="AD30">
        <v>1</v>
      </c>
      <c r="AE30">
        <v>0</v>
      </c>
      <c r="AF30" t="s">
        <v>81</v>
      </c>
      <c r="AG30">
        <v>6.1668749999999992</v>
      </c>
      <c r="AH30">
        <v>2</v>
      </c>
      <c r="AI30">
        <v>46261187</v>
      </c>
      <c r="AJ30">
        <v>29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>
      <c r="A31">
        <f>ROW(Source!A34)</f>
        <v>34</v>
      </c>
      <c r="B31">
        <v>46261196</v>
      </c>
      <c r="C31">
        <v>46261183</v>
      </c>
      <c r="D31">
        <v>39600277</v>
      </c>
      <c r="E31">
        <v>1</v>
      </c>
      <c r="F31">
        <v>1</v>
      </c>
      <c r="G31">
        <v>1</v>
      </c>
      <c r="H31">
        <v>2</v>
      </c>
      <c r="I31" t="s">
        <v>333</v>
      </c>
      <c r="J31" t="s">
        <v>334</v>
      </c>
      <c r="K31" t="s">
        <v>335</v>
      </c>
      <c r="L31">
        <v>1368</v>
      </c>
      <c r="N31">
        <v>1011</v>
      </c>
      <c r="O31" t="s">
        <v>279</v>
      </c>
      <c r="P31" t="s">
        <v>279</v>
      </c>
      <c r="Q31">
        <v>1</v>
      </c>
      <c r="X31">
        <v>7.08</v>
      </c>
      <c r="Y31">
        <v>0</v>
      </c>
      <c r="Z31">
        <v>2391.6</v>
      </c>
      <c r="AA31">
        <v>486.09</v>
      </c>
      <c r="AB31">
        <v>0</v>
      </c>
      <c r="AC31">
        <v>0</v>
      </c>
      <c r="AD31">
        <v>1</v>
      </c>
      <c r="AE31">
        <v>0</v>
      </c>
      <c r="AF31" t="s">
        <v>81</v>
      </c>
      <c r="AG31">
        <v>10.177499999999998</v>
      </c>
      <c r="AH31">
        <v>2</v>
      </c>
      <c r="AI31">
        <v>46261188</v>
      </c>
      <c r="AJ31">
        <v>30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>
      <c r="A32">
        <f>ROW(Source!A34)</f>
        <v>34</v>
      </c>
      <c r="B32">
        <v>46261197</v>
      </c>
      <c r="C32">
        <v>46261183</v>
      </c>
      <c r="D32">
        <v>39600770</v>
      </c>
      <c r="E32">
        <v>1</v>
      </c>
      <c r="F32">
        <v>1</v>
      </c>
      <c r="G32">
        <v>1</v>
      </c>
      <c r="H32">
        <v>2</v>
      </c>
      <c r="I32" t="s">
        <v>336</v>
      </c>
      <c r="J32" t="s">
        <v>337</v>
      </c>
      <c r="K32" t="s">
        <v>338</v>
      </c>
      <c r="L32">
        <v>1368</v>
      </c>
      <c r="N32">
        <v>1011</v>
      </c>
      <c r="O32" t="s">
        <v>279</v>
      </c>
      <c r="P32" t="s">
        <v>279</v>
      </c>
      <c r="Q32">
        <v>1</v>
      </c>
      <c r="X32">
        <v>0.74</v>
      </c>
      <c r="Y32">
        <v>0</v>
      </c>
      <c r="Z32">
        <v>1043.1400000000001</v>
      </c>
      <c r="AA32">
        <v>361.87</v>
      </c>
      <c r="AB32">
        <v>0</v>
      </c>
      <c r="AC32">
        <v>0</v>
      </c>
      <c r="AD32">
        <v>1</v>
      </c>
      <c r="AE32">
        <v>0</v>
      </c>
      <c r="AF32" t="s">
        <v>81</v>
      </c>
      <c r="AG32">
        <v>1.06375</v>
      </c>
      <c r="AH32">
        <v>2</v>
      </c>
      <c r="AI32">
        <v>46261189</v>
      </c>
      <c r="AJ32">
        <v>31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>
      <c r="A33">
        <f>ROW(Source!A34)</f>
        <v>34</v>
      </c>
      <c r="B33">
        <v>46261198</v>
      </c>
      <c r="C33">
        <v>46261183</v>
      </c>
      <c r="D33">
        <v>39548491</v>
      </c>
      <c r="E33">
        <v>1</v>
      </c>
      <c r="F33">
        <v>1</v>
      </c>
      <c r="G33">
        <v>1</v>
      </c>
      <c r="H33">
        <v>3</v>
      </c>
      <c r="I33" t="s">
        <v>307</v>
      </c>
      <c r="J33" t="s">
        <v>308</v>
      </c>
      <c r="K33" t="s">
        <v>309</v>
      </c>
      <c r="L33">
        <v>1339</v>
      </c>
      <c r="N33">
        <v>1007</v>
      </c>
      <c r="O33" t="s">
        <v>75</v>
      </c>
      <c r="P33" t="s">
        <v>75</v>
      </c>
      <c r="Q33">
        <v>1</v>
      </c>
      <c r="X33">
        <v>5</v>
      </c>
      <c r="Y33">
        <v>35.71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 t="s">
        <v>3</v>
      </c>
      <c r="AG33">
        <v>5</v>
      </c>
      <c r="AH33">
        <v>2</v>
      </c>
      <c r="AI33">
        <v>46261190</v>
      </c>
      <c r="AJ33">
        <v>32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>
      <c r="A34">
        <f>ROW(Source!A34)</f>
        <v>34</v>
      </c>
      <c r="B34">
        <v>46261199</v>
      </c>
      <c r="C34">
        <v>46261183</v>
      </c>
      <c r="D34">
        <v>39476184</v>
      </c>
      <c r="E34">
        <v>116</v>
      </c>
      <c r="F34">
        <v>1</v>
      </c>
      <c r="G34">
        <v>1</v>
      </c>
      <c r="H34">
        <v>3</v>
      </c>
      <c r="I34" t="s">
        <v>364</v>
      </c>
      <c r="J34" t="s">
        <v>3</v>
      </c>
      <c r="K34" t="s">
        <v>365</v>
      </c>
      <c r="L34">
        <v>1339</v>
      </c>
      <c r="N34">
        <v>1007</v>
      </c>
      <c r="O34" t="s">
        <v>75</v>
      </c>
      <c r="P34" t="s">
        <v>75</v>
      </c>
      <c r="Q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 t="s">
        <v>3</v>
      </c>
      <c r="AG34">
        <v>0</v>
      </c>
      <c r="AH34">
        <v>3</v>
      </c>
      <c r="AI34">
        <v>-1</v>
      </c>
      <c r="AJ34" t="s">
        <v>3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>
      <c r="A35">
        <f>ROW(Source!A36)</f>
        <v>36</v>
      </c>
      <c r="B35">
        <v>46261206</v>
      </c>
      <c r="C35">
        <v>46261201</v>
      </c>
      <c r="D35">
        <v>39474941</v>
      </c>
      <c r="E35">
        <v>116</v>
      </c>
      <c r="F35">
        <v>1</v>
      </c>
      <c r="G35">
        <v>1</v>
      </c>
      <c r="H35">
        <v>1</v>
      </c>
      <c r="I35" t="s">
        <v>269</v>
      </c>
      <c r="J35" t="s">
        <v>3</v>
      </c>
      <c r="K35" t="s">
        <v>270</v>
      </c>
      <c r="L35">
        <v>1191</v>
      </c>
      <c r="N35">
        <v>1013</v>
      </c>
      <c r="O35" t="s">
        <v>271</v>
      </c>
      <c r="P35" t="s">
        <v>271</v>
      </c>
      <c r="Q35">
        <v>1</v>
      </c>
      <c r="X35">
        <v>128.6</v>
      </c>
      <c r="Y35">
        <v>0</v>
      </c>
      <c r="Z35">
        <v>0</v>
      </c>
      <c r="AA35">
        <v>0</v>
      </c>
      <c r="AB35">
        <v>307.86</v>
      </c>
      <c r="AC35">
        <v>0</v>
      </c>
      <c r="AD35">
        <v>1</v>
      </c>
      <c r="AE35">
        <v>1</v>
      </c>
      <c r="AF35" t="s">
        <v>82</v>
      </c>
      <c r="AG35">
        <v>170.07349999999997</v>
      </c>
      <c r="AH35">
        <v>2</v>
      </c>
      <c r="AI35">
        <v>46261202</v>
      </c>
      <c r="AJ35">
        <v>34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>
      <c r="A36">
        <f>ROW(Source!A36)</f>
        <v>36</v>
      </c>
      <c r="B36">
        <v>46261207</v>
      </c>
      <c r="C36">
        <v>46261201</v>
      </c>
      <c r="D36">
        <v>39475155</v>
      </c>
      <c r="E36">
        <v>116</v>
      </c>
      <c r="F36">
        <v>1</v>
      </c>
      <c r="G36">
        <v>1</v>
      </c>
      <c r="H36">
        <v>1</v>
      </c>
      <c r="I36" t="s">
        <v>274</v>
      </c>
      <c r="J36" t="s">
        <v>3</v>
      </c>
      <c r="K36" t="s">
        <v>275</v>
      </c>
      <c r="L36">
        <v>1191</v>
      </c>
      <c r="N36">
        <v>1013</v>
      </c>
      <c r="O36" t="s">
        <v>271</v>
      </c>
      <c r="P36" t="s">
        <v>271</v>
      </c>
      <c r="Q36">
        <v>1</v>
      </c>
      <c r="X36">
        <v>4.5999999999999996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2</v>
      </c>
      <c r="AF36" t="s">
        <v>81</v>
      </c>
      <c r="AG36">
        <v>6.6124999999999989</v>
      </c>
      <c r="AH36">
        <v>2</v>
      </c>
      <c r="AI36">
        <v>46261203</v>
      </c>
      <c r="AJ36">
        <v>35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>
      <c r="A37">
        <f>ROW(Source!A36)</f>
        <v>36</v>
      </c>
      <c r="B37">
        <v>46261208</v>
      </c>
      <c r="C37">
        <v>46261201</v>
      </c>
      <c r="D37">
        <v>39600822</v>
      </c>
      <c r="E37">
        <v>1</v>
      </c>
      <c r="F37">
        <v>1</v>
      </c>
      <c r="G37">
        <v>1</v>
      </c>
      <c r="H37">
        <v>2</v>
      </c>
      <c r="I37" t="s">
        <v>315</v>
      </c>
      <c r="J37" t="s">
        <v>316</v>
      </c>
      <c r="K37" t="s">
        <v>317</v>
      </c>
      <c r="L37">
        <v>1368</v>
      </c>
      <c r="N37">
        <v>1011</v>
      </c>
      <c r="O37" t="s">
        <v>279</v>
      </c>
      <c r="P37" t="s">
        <v>279</v>
      </c>
      <c r="Q37">
        <v>1</v>
      </c>
      <c r="X37">
        <v>4.5999999999999996</v>
      </c>
      <c r="Y37">
        <v>0</v>
      </c>
      <c r="Z37">
        <v>680.2</v>
      </c>
      <c r="AA37">
        <v>361.87</v>
      </c>
      <c r="AB37">
        <v>0</v>
      </c>
      <c r="AC37">
        <v>0</v>
      </c>
      <c r="AD37">
        <v>1</v>
      </c>
      <c r="AE37">
        <v>0</v>
      </c>
      <c r="AF37" t="s">
        <v>81</v>
      </c>
      <c r="AG37">
        <v>6.6124999999999989</v>
      </c>
      <c r="AH37">
        <v>2</v>
      </c>
      <c r="AI37">
        <v>46261204</v>
      </c>
      <c r="AJ37">
        <v>36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>
      <c r="A38">
        <f>ROW(Source!A36)</f>
        <v>36</v>
      </c>
      <c r="B38">
        <v>46261209</v>
      </c>
      <c r="C38">
        <v>46261201</v>
      </c>
      <c r="D38">
        <v>39556705</v>
      </c>
      <c r="E38">
        <v>1</v>
      </c>
      <c r="F38">
        <v>1</v>
      </c>
      <c r="G38">
        <v>1</v>
      </c>
      <c r="H38">
        <v>3</v>
      </c>
      <c r="I38" t="s">
        <v>366</v>
      </c>
      <c r="J38" t="s">
        <v>367</v>
      </c>
      <c r="K38" t="s">
        <v>368</v>
      </c>
      <c r="L38">
        <v>1348</v>
      </c>
      <c r="N38">
        <v>1009</v>
      </c>
      <c r="O38" t="s">
        <v>90</v>
      </c>
      <c r="P38" t="s">
        <v>90</v>
      </c>
      <c r="Q38">
        <v>1000</v>
      </c>
      <c r="X38">
        <v>0</v>
      </c>
      <c r="Y38">
        <v>55898.18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 t="s">
        <v>3</v>
      </c>
      <c r="AG38">
        <v>0</v>
      </c>
      <c r="AH38">
        <v>3</v>
      </c>
      <c r="AI38">
        <v>-1</v>
      </c>
      <c r="AJ38" t="s">
        <v>3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>
      <c r="A39">
        <f>ROW(Source!A36)</f>
        <v>36</v>
      </c>
      <c r="B39">
        <v>46261210</v>
      </c>
      <c r="C39">
        <v>46261201</v>
      </c>
      <c r="D39">
        <v>39478540</v>
      </c>
      <c r="E39">
        <v>116</v>
      </c>
      <c r="F39">
        <v>1</v>
      </c>
      <c r="G39">
        <v>1</v>
      </c>
      <c r="H39">
        <v>3</v>
      </c>
      <c r="I39" t="s">
        <v>369</v>
      </c>
      <c r="J39" t="s">
        <v>3</v>
      </c>
      <c r="K39" t="s">
        <v>370</v>
      </c>
      <c r="L39">
        <v>1339</v>
      </c>
      <c r="N39">
        <v>1007</v>
      </c>
      <c r="O39" t="s">
        <v>75</v>
      </c>
      <c r="P39" t="s">
        <v>75</v>
      </c>
      <c r="Q39">
        <v>1</v>
      </c>
      <c r="X39">
        <v>100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 t="s">
        <v>3</v>
      </c>
      <c r="AG39">
        <v>100</v>
      </c>
      <c r="AH39">
        <v>3</v>
      </c>
      <c r="AI39">
        <v>-1</v>
      </c>
      <c r="AJ39" t="s">
        <v>3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>
      <c r="A40">
        <f>ROW(Source!A38)</f>
        <v>38</v>
      </c>
      <c r="B40">
        <v>46261219</v>
      </c>
      <c r="C40">
        <v>46261212</v>
      </c>
      <c r="D40">
        <v>39474965</v>
      </c>
      <c r="E40">
        <v>116</v>
      </c>
      <c r="F40">
        <v>1</v>
      </c>
      <c r="G40">
        <v>1</v>
      </c>
      <c r="H40">
        <v>1</v>
      </c>
      <c r="I40" t="s">
        <v>339</v>
      </c>
      <c r="J40" t="s">
        <v>3</v>
      </c>
      <c r="K40" t="s">
        <v>340</v>
      </c>
      <c r="L40">
        <v>1191</v>
      </c>
      <c r="N40">
        <v>1013</v>
      </c>
      <c r="O40" t="s">
        <v>271</v>
      </c>
      <c r="P40" t="s">
        <v>271</v>
      </c>
      <c r="Q40">
        <v>1</v>
      </c>
      <c r="X40">
        <v>11.6</v>
      </c>
      <c r="Y40">
        <v>0</v>
      </c>
      <c r="Z40">
        <v>0</v>
      </c>
      <c r="AA40">
        <v>0</v>
      </c>
      <c r="AB40">
        <v>333.51</v>
      </c>
      <c r="AC40">
        <v>0</v>
      </c>
      <c r="AD40">
        <v>1</v>
      </c>
      <c r="AE40">
        <v>1</v>
      </c>
      <c r="AF40" t="s">
        <v>82</v>
      </c>
      <c r="AG40">
        <v>15.340999999999996</v>
      </c>
      <c r="AH40">
        <v>2</v>
      </c>
      <c r="AI40">
        <v>46261213</v>
      </c>
      <c r="AJ40">
        <v>38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>
      <c r="A41">
        <f>ROW(Source!A38)</f>
        <v>38</v>
      </c>
      <c r="B41">
        <v>46261220</v>
      </c>
      <c r="C41">
        <v>46261212</v>
      </c>
      <c r="D41">
        <v>39475155</v>
      </c>
      <c r="E41">
        <v>116</v>
      </c>
      <c r="F41">
        <v>1</v>
      </c>
      <c r="G41">
        <v>1</v>
      </c>
      <c r="H41">
        <v>1</v>
      </c>
      <c r="I41" t="s">
        <v>274</v>
      </c>
      <c r="J41" t="s">
        <v>3</v>
      </c>
      <c r="K41" t="s">
        <v>275</v>
      </c>
      <c r="L41">
        <v>1191</v>
      </c>
      <c r="N41">
        <v>1013</v>
      </c>
      <c r="O41" t="s">
        <v>271</v>
      </c>
      <c r="P41" t="s">
        <v>271</v>
      </c>
      <c r="Q41">
        <v>1</v>
      </c>
      <c r="X41">
        <v>0.35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2</v>
      </c>
      <c r="AF41" t="s">
        <v>81</v>
      </c>
      <c r="AG41">
        <v>0.50312499999999993</v>
      </c>
      <c r="AH41">
        <v>2</v>
      </c>
      <c r="AI41">
        <v>46261214</v>
      </c>
      <c r="AJ41">
        <v>39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>
      <c r="A42">
        <f>ROW(Source!A38)</f>
        <v>38</v>
      </c>
      <c r="B42">
        <v>46261221</v>
      </c>
      <c r="C42">
        <v>46261212</v>
      </c>
      <c r="D42">
        <v>39599917</v>
      </c>
      <c r="E42">
        <v>1</v>
      </c>
      <c r="F42">
        <v>1</v>
      </c>
      <c r="G42">
        <v>1</v>
      </c>
      <c r="H42">
        <v>2</v>
      </c>
      <c r="I42" t="s">
        <v>341</v>
      </c>
      <c r="J42" t="s">
        <v>342</v>
      </c>
      <c r="K42" t="s">
        <v>343</v>
      </c>
      <c r="L42">
        <v>1368</v>
      </c>
      <c r="N42">
        <v>1011</v>
      </c>
      <c r="O42" t="s">
        <v>279</v>
      </c>
      <c r="P42" t="s">
        <v>279</v>
      </c>
      <c r="Q42">
        <v>1</v>
      </c>
      <c r="X42">
        <v>0.15</v>
      </c>
      <c r="Y42">
        <v>0</v>
      </c>
      <c r="Z42">
        <v>1690.04</v>
      </c>
      <c r="AA42">
        <v>486.09</v>
      </c>
      <c r="AB42">
        <v>0</v>
      </c>
      <c r="AC42">
        <v>0</v>
      </c>
      <c r="AD42">
        <v>1</v>
      </c>
      <c r="AE42">
        <v>0</v>
      </c>
      <c r="AF42" t="s">
        <v>81</v>
      </c>
      <c r="AG42">
        <v>0.21562499999999998</v>
      </c>
      <c r="AH42">
        <v>2</v>
      </c>
      <c r="AI42">
        <v>46261215</v>
      </c>
      <c r="AJ42">
        <v>40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>
      <c r="A43">
        <f>ROW(Source!A38)</f>
        <v>38</v>
      </c>
      <c r="B43">
        <v>46261222</v>
      </c>
      <c r="C43">
        <v>46261212</v>
      </c>
      <c r="D43">
        <v>39600822</v>
      </c>
      <c r="E43">
        <v>1</v>
      </c>
      <c r="F43">
        <v>1</v>
      </c>
      <c r="G43">
        <v>1</v>
      </c>
      <c r="H43">
        <v>2</v>
      </c>
      <c r="I43" t="s">
        <v>315</v>
      </c>
      <c r="J43" t="s">
        <v>316</v>
      </c>
      <c r="K43" t="s">
        <v>317</v>
      </c>
      <c r="L43">
        <v>1368</v>
      </c>
      <c r="N43">
        <v>1011</v>
      </c>
      <c r="O43" t="s">
        <v>279</v>
      </c>
      <c r="P43" t="s">
        <v>279</v>
      </c>
      <c r="Q43">
        <v>1</v>
      </c>
      <c r="X43">
        <v>0.2</v>
      </c>
      <c r="Y43">
        <v>0</v>
      </c>
      <c r="Z43">
        <v>680.2</v>
      </c>
      <c r="AA43">
        <v>361.87</v>
      </c>
      <c r="AB43">
        <v>0</v>
      </c>
      <c r="AC43">
        <v>0</v>
      </c>
      <c r="AD43">
        <v>1</v>
      </c>
      <c r="AE43">
        <v>0</v>
      </c>
      <c r="AF43" t="s">
        <v>81</v>
      </c>
      <c r="AG43">
        <v>0.28749999999999998</v>
      </c>
      <c r="AH43">
        <v>2</v>
      </c>
      <c r="AI43">
        <v>46261216</v>
      </c>
      <c r="AJ43">
        <v>41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>
      <c r="A44">
        <f>ROW(Source!A38)</f>
        <v>38</v>
      </c>
      <c r="B44">
        <v>46261223</v>
      </c>
      <c r="C44">
        <v>46261212</v>
      </c>
      <c r="D44">
        <v>39558002</v>
      </c>
      <c r="E44">
        <v>1</v>
      </c>
      <c r="F44">
        <v>1</v>
      </c>
      <c r="G44">
        <v>1</v>
      </c>
      <c r="H44">
        <v>3</v>
      </c>
      <c r="I44" t="s">
        <v>344</v>
      </c>
      <c r="J44" t="s">
        <v>345</v>
      </c>
      <c r="K44" t="s">
        <v>346</v>
      </c>
      <c r="L44">
        <v>1348</v>
      </c>
      <c r="N44">
        <v>1009</v>
      </c>
      <c r="O44" t="s">
        <v>90</v>
      </c>
      <c r="P44" t="s">
        <v>90</v>
      </c>
      <c r="Q44">
        <v>1000</v>
      </c>
      <c r="X44">
        <v>2.8000000000000001E-2</v>
      </c>
      <c r="Y44">
        <v>88783.86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 t="s">
        <v>3</v>
      </c>
      <c r="AG44">
        <v>2.8000000000000001E-2</v>
      </c>
      <c r="AH44">
        <v>2</v>
      </c>
      <c r="AI44">
        <v>46261218</v>
      </c>
      <c r="AJ44">
        <v>43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>
      <c r="A45">
        <f>ROW(Source!A38)</f>
        <v>38</v>
      </c>
      <c r="B45">
        <v>46261224</v>
      </c>
      <c r="C45">
        <v>46261212</v>
      </c>
      <c r="D45">
        <v>39477862</v>
      </c>
      <c r="E45">
        <v>116</v>
      </c>
      <c r="F45">
        <v>1</v>
      </c>
      <c r="G45">
        <v>1</v>
      </c>
      <c r="H45">
        <v>3</v>
      </c>
      <c r="I45" t="s">
        <v>371</v>
      </c>
      <c r="J45" t="s">
        <v>3</v>
      </c>
      <c r="K45" t="s">
        <v>372</v>
      </c>
      <c r="L45">
        <v>1348</v>
      </c>
      <c r="N45">
        <v>1009</v>
      </c>
      <c r="O45" t="s">
        <v>90</v>
      </c>
      <c r="P45" t="s">
        <v>90</v>
      </c>
      <c r="Q45">
        <v>1000</v>
      </c>
      <c r="X45">
        <v>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 t="s">
        <v>3</v>
      </c>
      <c r="AG45">
        <v>1</v>
      </c>
      <c r="AH45">
        <v>3</v>
      </c>
      <c r="AI45">
        <v>-1</v>
      </c>
      <c r="AJ45" t="s">
        <v>3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>
      <c r="A46">
        <f>ROW(Source!A40)</f>
        <v>40</v>
      </c>
      <c r="B46">
        <v>46261235</v>
      </c>
      <c r="C46">
        <v>46261226</v>
      </c>
      <c r="D46">
        <v>39474919</v>
      </c>
      <c r="E46">
        <v>116</v>
      </c>
      <c r="F46">
        <v>1</v>
      </c>
      <c r="G46">
        <v>1</v>
      </c>
      <c r="H46">
        <v>1</v>
      </c>
      <c r="I46" t="s">
        <v>272</v>
      </c>
      <c r="J46" t="s">
        <v>3</v>
      </c>
      <c r="K46" t="s">
        <v>273</v>
      </c>
      <c r="L46">
        <v>1191</v>
      </c>
      <c r="N46">
        <v>1013</v>
      </c>
      <c r="O46" t="s">
        <v>271</v>
      </c>
      <c r="P46" t="s">
        <v>271</v>
      </c>
      <c r="Q46">
        <v>1</v>
      </c>
      <c r="X46">
        <v>135</v>
      </c>
      <c r="Y46">
        <v>0</v>
      </c>
      <c r="Z46">
        <v>0</v>
      </c>
      <c r="AA46">
        <v>0</v>
      </c>
      <c r="AB46">
        <v>294.35000000000002</v>
      </c>
      <c r="AC46">
        <v>0</v>
      </c>
      <c r="AD46">
        <v>1</v>
      </c>
      <c r="AE46">
        <v>1</v>
      </c>
      <c r="AF46" t="s">
        <v>82</v>
      </c>
      <c r="AG46">
        <v>178.53749999999999</v>
      </c>
      <c r="AH46">
        <v>2</v>
      </c>
      <c r="AI46">
        <v>46261227</v>
      </c>
      <c r="AJ46">
        <v>44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>
      <c r="A47">
        <f>ROW(Source!A40)</f>
        <v>40</v>
      </c>
      <c r="B47">
        <v>46261236</v>
      </c>
      <c r="C47">
        <v>46261226</v>
      </c>
      <c r="D47">
        <v>39475155</v>
      </c>
      <c r="E47">
        <v>116</v>
      </c>
      <c r="F47">
        <v>1</v>
      </c>
      <c r="G47">
        <v>1</v>
      </c>
      <c r="H47">
        <v>1</v>
      </c>
      <c r="I47" t="s">
        <v>274</v>
      </c>
      <c r="J47" t="s">
        <v>3</v>
      </c>
      <c r="K47" t="s">
        <v>275</v>
      </c>
      <c r="L47">
        <v>1191</v>
      </c>
      <c r="N47">
        <v>1013</v>
      </c>
      <c r="O47" t="s">
        <v>271</v>
      </c>
      <c r="P47" t="s">
        <v>271</v>
      </c>
      <c r="Q47">
        <v>1</v>
      </c>
      <c r="X47">
        <v>18.12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2</v>
      </c>
      <c r="AF47" t="s">
        <v>81</v>
      </c>
      <c r="AG47">
        <v>26.047499999999999</v>
      </c>
      <c r="AH47">
        <v>2</v>
      </c>
      <c r="AI47">
        <v>46261228</v>
      </c>
      <c r="AJ47">
        <v>45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>
      <c r="A48">
        <f>ROW(Source!A40)</f>
        <v>40</v>
      </c>
      <c r="B48">
        <v>46261237</v>
      </c>
      <c r="C48">
        <v>46261226</v>
      </c>
      <c r="D48">
        <v>39599865</v>
      </c>
      <c r="E48">
        <v>1</v>
      </c>
      <c r="F48">
        <v>1</v>
      </c>
      <c r="G48">
        <v>1</v>
      </c>
      <c r="H48">
        <v>2</v>
      </c>
      <c r="I48" t="s">
        <v>347</v>
      </c>
      <c r="J48" t="s">
        <v>348</v>
      </c>
      <c r="K48" t="s">
        <v>349</v>
      </c>
      <c r="L48">
        <v>1368</v>
      </c>
      <c r="N48">
        <v>1011</v>
      </c>
      <c r="O48" t="s">
        <v>279</v>
      </c>
      <c r="P48" t="s">
        <v>279</v>
      </c>
      <c r="Q48">
        <v>1</v>
      </c>
      <c r="X48">
        <v>18</v>
      </c>
      <c r="Y48">
        <v>0</v>
      </c>
      <c r="Z48">
        <v>1043.6600000000001</v>
      </c>
      <c r="AA48">
        <v>486.09</v>
      </c>
      <c r="AB48">
        <v>0</v>
      </c>
      <c r="AC48">
        <v>0</v>
      </c>
      <c r="AD48">
        <v>1</v>
      </c>
      <c r="AE48">
        <v>0</v>
      </c>
      <c r="AF48" t="s">
        <v>81</v>
      </c>
      <c r="AG48">
        <v>25.875</v>
      </c>
      <c r="AH48">
        <v>2</v>
      </c>
      <c r="AI48">
        <v>46261229</v>
      </c>
      <c r="AJ48">
        <v>46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>
      <c r="A49">
        <f>ROW(Source!A40)</f>
        <v>40</v>
      </c>
      <c r="B49">
        <v>46261238</v>
      </c>
      <c r="C49">
        <v>46261226</v>
      </c>
      <c r="D49">
        <v>39600175</v>
      </c>
      <c r="E49">
        <v>1</v>
      </c>
      <c r="F49">
        <v>1</v>
      </c>
      <c r="G49">
        <v>1</v>
      </c>
      <c r="H49">
        <v>2</v>
      </c>
      <c r="I49" t="s">
        <v>350</v>
      </c>
      <c r="J49" t="s">
        <v>351</v>
      </c>
      <c r="K49" t="s">
        <v>352</v>
      </c>
      <c r="L49">
        <v>1368</v>
      </c>
      <c r="N49">
        <v>1011</v>
      </c>
      <c r="O49" t="s">
        <v>279</v>
      </c>
      <c r="P49" t="s">
        <v>279</v>
      </c>
      <c r="Q49">
        <v>1</v>
      </c>
      <c r="X49">
        <v>5.93</v>
      </c>
      <c r="Y49">
        <v>0</v>
      </c>
      <c r="Z49">
        <v>8.5399999999999991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81</v>
      </c>
      <c r="AG49">
        <v>8.5243749999999991</v>
      </c>
      <c r="AH49">
        <v>2</v>
      </c>
      <c r="AI49">
        <v>46261230</v>
      </c>
      <c r="AJ49">
        <v>47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>
      <c r="A50">
        <f>ROW(Source!A40)</f>
        <v>40</v>
      </c>
      <c r="B50">
        <v>46261239</v>
      </c>
      <c r="C50">
        <v>46261226</v>
      </c>
      <c r="D50">
        <v>39600822</v>
      </c>
      <c r="E50">
        <v>1</v>
      </c>
      <c r="F50">
        <v>1</v>
      </c>
      <c r="G50">
        <v>1</v>
      </c>
      <c r="H50">
        <v>2</v>
      </c>
      <c r="I50" t="s">
        <v>315</v>
      </c>
      <c r="J50" t="s">
        <v>316</v>
      </c>
      <c r="K50" t="s">
        <v>317</v>
      </c>
      <c r="L50">
        <v>1368</v>
      </c>
      <c r="N50">
        <v>1011</v>
      </c>
      <c r="O50" t="s">
        <v>279</v>
      </c>
      <c r="P50" t="s">
        <v>279</v>
      </c>
      <c r="Q50">
        <v>1</v>
      </c>
      <c r="X50">
        <v>0.12</v>
      </c>
      <c r="Y50">
        <v>0</v>
      </c>
      <c r="Z50">
        <v>680.2</v>
      </c>
      <c r="AA50">
        <v>361.87</v>
      </c>
      <c r="AB50">
        <v>0</v>
      </c>
      <c r="AC50">
        <v>0</v>
      </c>
      <c r="AD50">
        <v>1</v>
      </c>
      <c r="AE50">
        <v>0</v>
      </c>
      <c r="AF50" t="s">
        <v>81</v>
      </c>
      <c r="AG50">
        <v>0.17249999999999999</v>
      </c>
      <c r="AH50">
        <v>2</v>
      </c>
      <c r="AI50">
        <v>46261231</v>
      </c>
      <c r="AJ50">
        <v>48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>
      <c r="A51">
        <f>ROW(Source!A40)</f>
        <v>40</v>
      </c>
      <c r="B51">
        <v>46261240</v>
      </c>
      <c r="C51">
        <v>46261226</v>
      </c>
      <c r="D51">
        <v>39548491</v>
      </c>
      <c r="E51">
        <v>1</v>
      </c>
      <c r="F51">
        <v>1</v>
      </c>
      <c r="G51">
        <v>1</v>
      </c>
      <c r="H51">
        <v>3</v>
      </c>
      <c r="I51" t="s">
        <v>307</v>
      </c>
      <c r="J51" t="s">
        <v>308</v>
      </c>
      <c r="K51" t="s">
        <v>309</v>
      </c>
      <c r="L51">
        <v>1339</v>
      </c>
      <c r="N51">
        <v>1007</v>
      </c>
      <c r="O51" t="s">
        <v>75</v>
      </c>
      <c r="P51" t="s">
        <v>75</v>
      </c>
      <c r="Q51">
        <v>1</v>
      </c>
      <c r="X51">
        <v>1.75</v>
      </c>
      <c r="Y51">
        <v>35.71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1.75</v>
      </c>
      <c r="AH51">
        <v>2</v>
      </c>
      <c r="AI51">
        <v>46261232</v>
      </c>
      <c r="AJ51">
        <v>49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>
      <c r="A52">
        <f>ROW(Source!A40)</f>
        <v>40</v>
      </c>
      <c r="B52">
        <v>46261241</v>
      </c>
      <c r="C52">
        <v>46261226</v>
      </c>
      <c r="D52">
        <v>39548796</v>
      </c>
      <c r="E52">
        <v>1</v>
      </c>
      <c r="F52">
        <v>1</v>
      </c>
      <c r="G52">
        <v>1</v>
      </c>
      <c r="H52">
        <v>3</v>
      </c>
      <c r="I52" t="s">
        <v>353</v>
      </c>
      <c r="J52" t="s">
        <v>354</v>
      </c>
      <c r="K52" t="s">
        <v>355</v>
      </c>
      <c r="L52">
        <v>1327</v>
      </c>
      <c r="N52">
        <v>1005</v>
      </c>
      <c r="O52" t="s">
        <v>128</v>
      </c>
      <c r="P52" t="s">
        <v>128</v>
      </c>
      <c r="Q52">
        <v>1</v>
      </c>
      <c r="X52">
        <v>250</v>
      </c>
      <c r="Y52">
        <v>12.83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250</v>
      </c>
      <c r="AH52">
        <v>2</v>
      </c>
      <c r="AI52">
        <v>46261233</v>
      </c>
      <c r="AJ52">
        <v>50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>
      <c r="A53">
        <f>ROW(Source!A40)</f>
        <v>40</v>
      </c>
      <c r="B53">
        <v>46261242</v>
      </c>
      <c r="C53">
        <v>46261226</v>
      </c>
      <c r="D53">
        <v>39476300</v>
      </c>
      <c r="E53">
        <v>116</v>
      </c>
      <c r="F53">
        <v>1</v>
      </c>
      <c r="G53">
        <v>1</v>
      </c>
      <c r="H53">
        <v>3</v>
      </c>
      <c r="I53" t="s">
        <v>373</v>
      </c>
      <c r="J53" t="s">
        <v>3</v>
      </c>
      <c r="K53" t="s">
        <v>374</v>
      </c>
      <c r="L53">
        <v>1339</v>
      </c>
      <c r="N53">
        <v>1007</v>
      </c>
      <c r="O53" t="s">
        <v>75</v>
      </c>
      <c r="P53" t="s">
        <v>75</v>
      </c>
      <c r="Q53">
        <v>1</v>
      </c>
      <c r="X53">
        <v>102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 t="s">
        <v>3</v>
      </c>
      <c r="AG53">
        <v>102</v>
      </c>
      <c r="AH53">
        <v>3</v>
      </c>
      <c r="AI53">
        <v>-1</v>
      </c>
      <c r="AJ53" t="s">
        <v>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ColWidth="9.140625" defaultRowHeight="12.75"/>
  <cols>
    <col min="1" max="256" width="9.140625" customWidth="1"/>
  </cols>
  <sheetData>
    <row r="1" spans="1:21">
      <c r="A1">
        <v>29</v>
      </c>
      <c r="B1">
        <v>1</v>
      </c>
      <c r="C1" t="s">
        <v>3</v>
      </c>
      <c r="D1" t="s">
        <v>3</v>
      </c>
      <c r="E1" t="s">
        <v>64</v>
      </c>
      <c r="F1" t="s">
        <v>64</v>
      </c>
      <c r="G1" t="s">
        <v>65</v>
      </c>
      <c r="H1" t="s">
        <v>3</v>
      </c>
      <c r="I1" t="s">
        <v>65</v>
      </c>
      <c r="J1" t="s">
        <v>64</v>
      </c>
      <c r="K1" t="s">
        <v>3</v>
      </c>
      <c r="L1" t="s">
        <v>66</v>
      </c>
      <c r="M1" t="s">
        <v>67</v>
      </c>
      <c r="N1" t="s">
        <v>3</v>
      </c>
      <c r="O1" t="s">
        <v>64</v>
      </c>
      <c r="P1" t="s">
        <v>3</v>
      </c>
      <c r="Q1" t="s">
        <v>3</v>
      </c>
      <c r="R1" t="s">
        <v>3</v>
      </c>
      <c r="S1" t="s">
        <v>375</v>
      </c>
      <c r="T1" t="s">
        <v>380</v>
      </c>
      <c r="U1" t="s">
        <v>376</v>
      </c>
    </row>
    <row r="2" spans="1:21">
      <c r="A2">
        <v>31</v>
      </c>
      <c r="B2">
        <v>1</v>
      </c>
      <c r="C2" t="s">
        <v>3</v>
      </c>
      <c r="D2" t="s">
        <v>3</v>
      </c>
      <c r="E2" t="s">
        <v>65</v>
      </c>
      <c r="F2" t="s">
        <v>65</v>
      </c>
      <c r="G2" t="s">
        <v>65</v>
      </c>
      <c r="H2" t="s">
        <v>3</v>
      </c>
      <c r="I2" t="s">
        <v>65</v>
      </c>
      <c r="J2" t="s">
        <v>65</v>
      </c>
      <c r="K2" t="s">
        <v>3</v>
      </c>
      <c r="L2" t="s">
        <v>3</v>
      </c>
      <c r="M2" t="s">
        <v>3</v>
      </c>
      <c r="N2" t="s">
        <v>3</v>
      </c>
      <c r="O2" t="s">
        <v>65</v>
      </c>
      <c r="P2" t="s">
        <v>3</v>
      </c>
      <c r="Q2" t="s">
        <v>3</v>
      </c>
      <c r="R2" t="s">
        <v>3</v>
      </c>
      <c r="S2" t="s">
        <v>377</v>
      </c>
      <c r="T2" t="s">
        <v>382</v>
      </c>
      <c r="U2" t="s">
        <v>378</v>
      </c>
    </row>
    <row r="3" spans="1:21">
      <c r="A3">
        <v>31</v>
      </c>
      <c r="B3">
        <v>1</v>
      </c>
      <c r="C3" t="s">
        <v>3</v>
      </c>
      <c r="D3" t="s">
        <v>3</v>
      </c>
      <c r="E3" t="s">
        <v>64</v>
      </c>
      <c r="F3" t="s">
        <v>64</v>
      </c>
      <c r="G3" t="s">
        <v>65</v>
      </c>
      <c r="H3" t="s">
        <v>3</v>
      </c>
      <c r="I3" t="s">
        <v>65</v>
      </c>
      <c r="J3" t="s">
        <v>64</v>
      </c>
      <c r="K3" t="s">
        <v>3</v>
      </c>
      <c r="L3" t="s">
        <v>66</v>
      </c>
      <c r="M3" t="s">
        <v>67</v>
      </c>
      <c r="N3" t="s">
        <v>3</v>
      </c>
      <c r="O3" t="s">
        <v>64</v>
      </c>
      <c r="P3" t="s">
        <v>3</v>
      </c>
      <c r="Q3" t="s">
        <v>3</v>
      </c>
      <c r="R3" t="s">
        <v>3</v>
      </c>
      <c r="S3" t="s">
        <v>375</v>
      </c>
      <c r="T3" t="s">
        <v>380</v>
      </c>
      <c r="U3" t="s">
        <v>376</v>
      </c>
    </row>
    <row r="4" spans="1:21">
      <c r="A4">
        <v>34</v>
      </c>
      <c r="B4">
        <v>1</v>
      </c>
      <c r="C4" t="s">
        <v>3</v>
      </c>
      <c r="D4" t="s">
        <v>3</v>
      </c>
      <c r="E4" t="s">
        <v>65</v>
      </c>
      <c r="F4" t="s">
        <v>65</v>
      </c>
      <c r="G4" t="s">
        <v>65</v>
      </c>
      <c r="H4" t="s">
        <v>3</v>
      </c>
      <c r="I4" t="s">
        <v>65</v>
      </c>
      <c r="J4" t="s">
        <v>65</v>
      </c>
      <c r="K4" t="s">
        <v>3</v>
      </c>
      <c r="L4" t="s">
        <v>3</v>
      </c>
      <c r="M4" t="s">
        <v>3</v>
      </c>
      <c r="N4" t="s">
        <v>3</v>
      </c>
      <c r="O4" t="s">
        <v>65</v>
      </c>
      <c r="P4" t="s">
        <v>3</v>
      </c>
      <c r="Q4" t="s">
        <v>3</v>
      </c>
      <c r="R4" t="s">
        <v>3</v>
      </c>
      <c r="S4" t="s">
        <v>377</v>
      </c>
      <c r="T4" t="s">
        <v>382</v>
      </c>
      <c r="U4" t="s">
        <v>378</v>
      </c>
    </row>
    <row r="5" spans="1:21">
      <c r="A5">
        <v>34</v>
      </c>
      <c r="B5">
        <v>1</v>
      </c>
      <c r="C5" t="s">
        <v>3</v>
      </c>
      <c r="D5" t="s">
        <v>3</v>
      </c>
      <c r="E5" t="s">
        <v>64</v>
      </c>
      <c r="F5" t="s">
        <v>64</v>
      </c>
      <c r="G5" t="s">
        <v>65</v>
      </c>
      <c r="H5" t="s">
        <v>3</v>
      </c>
      <c r="I5" t="s">
        <v>65</v>
      </c>
      <c r="J5" t="s">
        <v>64</v>
      </c>
      <c r="K5" t="s">
        <v>3</v>
      </c>
      <c r="L5" t="s">
        <v>66</v>
      </c>
      <c r="M5" t="s">
        <v>67</v>
      </c>
      <c r="N5" t="s">
        <v>3</v>
      </c>
      <c r="O5" t="s">
        <v>64</v>
      </c>
      <c r="P5" t="s">
        <v>3</v>
      </c>
      <c r="Q5" t="s">
        <v>3</v>
      </c>
      <c r="R5" t="s">
        <v>3</v>
      </c>
      <c r="S5" t="s">
        <v>375</v>
      </c>
      <c r="T5" t="s">
        <v>380</v>
      </c>
      <c r="U5" t="s">
        <v>376</v>
      </c>
    </row>
    <row r="6" spans="1:21">
      <c r="A6">
        <v>36</v>
      </c>
      <c r="B6">
        <v>1</v>
      </c>
      <c r="C6" t="s">
        <v>3</v>
      </c>
      <c r="D6" t="s">
        <v>3</v>
      </c>
      <c r="E6" t="s">
        <v>65</v>
      </c>
      <c r="F6" t="s">
        <v>65</v>
      </c>
      <c r="G6" t="s">
        <v>65</v>
      </c>
      <c r="H6" t="s">
        <v>3</v>
      </c>
      <c r="I6" t="s">
        <v>65</v>
      </c>
      <c r="J6" t="s">
        <v>65</v>
      </c>
      <c r="K6" t="s">
        <v>3</v>
      </c>
      <c r="L6" t="s">
        <v>3</v>
      </c>
      <c r="M6" t="s">
        <v>3</v>
      </c>
      <c r="N6" t="s">
        <v>3</v>
      </c>
      <c r="O6" t="s">
        <v>65</v>
      </c>
      <c r="P6" t="s">
        <v>3</v>
      </c>
      <c r="Q6" t="s">
        <v>3</v>
      </c>
      <c r="R6" t="s">
        <v>3</v>
      </c>
      <c r="S6" t="s">
        <v>377</v>
      </c>
      <c r="T6" t="s">
        <v>382</v>
      </c>
      <c r="U6" t="s">
        <v>378</v>
      </c>
    </row>
    <row r="7" spans="1:21">
      <c r="A7">
        <v>36</v>
      </c>
      <c r="B7">
        <v>1</v>
      </c>
      <c r="C7" t="s">
        <v>3</v>
      </c>
      <c r="D7" t="s">
        <v>3</v>
      </c>
      <c r="E7" t="s">
        <v>64</v>
      </c>
      <c r="F7" t="s">
        <v>64</v>
      </c>
      <c r="G7" t="s">
        <v>65</v>
      </c>
      <c r="H7" t="s">
        <v>3</v>
      </c>
      <c r="I7" t="s">
        <v>65</v>
      </c>
      <c r="J7" t="s">
        <v>64</v>
      </c>
      <c r="K7" t="s">
        <v>3</v>
      </c>
      <c r="L7" t="s">
        <v>66</v>
      </c>
      <c r="M7" t="s">
        <v>67</v>
      </c>
      <c r="N7" t="s">
        <v>3</v>
      </c>
      <c r="O7" t="s">
        <v>64</v>
      </c>
      <c r="P7" t="s">
        <v>3</v>
      </c>
      <c r="Q7" t="s">
        <v>3</v>
      </c>
      <c r="R7" t="s">
        <v>3</v>
      </c>
      <c r="S7" t="s">
        <v>375</v>
      </c>
      <c r="T7" t="s">
        <v>380</v>
      </c>
      <c r="U7" t="s">
        <v>376</v>
      </c>
    </row>
    <row r="8" spans="1:21">
      <c r="A8">
        <v>38</v>
      </c>
      <c r="B8">
        <v>1</v>
      </c>
      <c r="C8" t="s">
        <v>3</v>
      </c>
      <c r="D8" t="s">
        <v>3</v>
      </c>
      <c r="E8" t="s">
        <v>65</v>
      </c>
      <c r="F8" t="s">
        <v>65</v>
      </c>
      <c r="G8" t="s">
        <v>65</v>
      </c>
      <c r="H8" t="s">
        <v>3</v>
      </c>
      <c r="I8" t="s">
        <v>65</v>
      </c>
      <c r="J8" t="s">
        <v>65</v>
      </c>
      <c r="K8" t="s">
        <v>3</v>
      </c>
      <c r="L8" t="s">
        <v>3</v>
      </c>
      <c r="M8" t="s">
        <v>3</v>
      </c>
      <c r="N8" t="s">
        <v>3</v>
      </c>
      <c r="O8" t="s">
        <v>65</v>
      </c>
      <c r="P8" t="s">
        <v>3</v>
      </c>
      <c r="Q8" t="s">
        <v>3</v>
      </c>
      <c r="R8" t="s">
        <v>3</v>
      </c>
      <c r="S8" t="s">
        <v>377</v>
      </c>
      <c r="T8" t="s">
        <v>382</v>
      </c>
      <c r="U8" t="s">
        <v>378</v>
      </c>
    </row>
    <row r="9" spans="1:21">
      <c r="A9">
        <v>38</v>
      </c>
      <c r="B9">
        <v>1</v>
      </c>
      <c r="C9" t="s">
        <v>3</v>
      </c>
      <c r="D9" t="s">
        <v>3</v>
      </c>
      <c r="E9" t="s">
        <v>64</v>
      </c>
      <c r="F9" t="s">
        <v>64</v>
      </c>
      <c r="G9" t="s">
        <v>65</v>
      </c>
      <c r="H9" t="s">
        <v>3</v>
      </c>
      <c r="I9" t="s">
        <v>65</v>
      </c>
      <c r="J9" t="s">
        <v>64</v>
      </c>
      <c r="K9" t="s">
        <v>3</v>
      </c>
      <c r="L9" t="s">
        <v>66</v>
      </c>
      <c r="M9" t="s">
        <v>67</v>
      </c>
      <c r="N9" t="s">
        <v>3</v>
      </c>
      <c r="O9" t="s">
        <v>64</v>
      </c>
      <c r="P9" t="s">
        <v>3</v>
      </c>
      <c r="Q9" t="s">
        <v>3</v>
      </c>
      <c r="R9" t="s">
        <v>3</v>
      </c>
      <c r="S9" t="s">
        <v>375</v>
      </c>
      <c r="T9" t="s">
        <v>380</v>
      </c>
      <c r="U9" t="s">
        <v>376</v>
      </c>
    </row>
    <row r="10" spans="1:21">
      <c r="A10">
        <v>40</v>
      </c>
      <c r="B10">
        <v>1</v>
      </c>
      <c r="C10" t="s">
        <v>3</v>
      </c>
      <c r="D10" t="s">
        <v>3</v>
      </c>
      <c r="E10" t="s">
        <v>65</v>
      </c>
      <c r="F10" t="s">
        <v>65</v>
      </c>
      <c r="G10" t="s">
        <v>65</v>
      </c>
      <c r="H10" t="s">
        <v>3</v>
      </c>
      <c r="I10" t="s">
        <v>65</v>
      </c>
      <c r="J10" t="s">
        <v>65</v>
      </c>
      <c r="K10" t="s">
        <v>3</v>
      </c>
      <c r="L10" t="s">
        <v>3</v>
      </c>
      <c r="M10" t="s">
        <v>3</v>
      </c>
      <c r="N10" t="s">
        <v>3</v>
      </c>
      <c r="O10" t="s">
        <v>65</v>
      </c>
      <c r="P10" t="s">
        <v>3</v>
      </c>
      <c r="Q10" t="s">
        <v>3</v>
      </c>
      <c r="R10" t="s">
        <v>3</v>
      </c>
      <c r="S10" t="s">
        <v>377</v>
      </c>
      <c r="T10" t="s">
        <v>382</v>
      </c>
      <c r="U10" t="s">
        <v>378</v>
      </c>
    </row>
    <row r="11" spans="1:21">
      <c r="A11">
        <v>40</v>
      </c>
      <c r="B11">
        <v>1</v>
      </c>
      <c r="C11" t="s">
        <v>3</v>
      </c>
      <c r="D11" t="s">
        <v>3</v>
      </c>
      <c r="E11" t="s">
        <v>64</v>
      </c>
      <c r="F11" t="s">
        <v>64</v>
      </c>
      <c r="G11" t="s">
        <v>65</v>
      </c>
      <c r="H11" t="s">
        <v>3</v>
      </c>
      <c r="I11" t="s">
        <v>65</v>
      </c>
      <c r="J11" t="s">
        <v>64</v>
      </c>
      <c r="K11" t="s">
        <v>3</v>
      </c>
      <c r="L11" t="s">
        <v>66</v>
      </c>
      <c r="M11" t="s">
        <v>67</v>
      </c>
      <c r="N11" t="s">
        <v>3</v>
      </c>
      <c r="O11" t="s">
        <v>64</v>
      </c>
      <c r="P11" t="s">
        <v>3</v>
      </c>
      <c r="Q11" t="s">
        <v>3</v>
      </c>
      <c r="R11" t="s">
        <v>3</v>
      </c>
      <c r="S11" t="s">
        <v>375</v>
      </c>
      <c r="T11" t="s">
        <v>380</v>
      </c>
      <c r="U11" t="s">
        <v>376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Y12"/>
  <sheetViews>
    <sheetView workbookViewId="0"/>
  </sheetViews>
  <sheetFormatPr defaultColWidth="9.140625" defaultRowHeight="12.75"/>
  <cols>
    <col min="1" max="256" width="9.140625" customWidth="1"/>
  </cols>
  <sheetData>
    <row r="1" spans="1:103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51908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03">
      <c r="F12" t="str">
        <f>Source!F12</f>
        <v>Новый объект_(Копия)_(Копия)</v>
      </c>
      <c r="G12" t="str">
        <f>Source!G12</f>
        <v>Капитальный ремонт овощехранилища (устройство отмостки) ИК-7 (овощехранилище 2026 год)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Смета по ФСНБ 421+557прРИМ</vt:lpstr>
      <vt:lpstr>Source</vt:lpstr>
      <vt:lpstr>SourceObSm</vt:lpstr>
      <vt:lpstr>SmtRes</vt:lpstr>
      <vt:lpstr>EtalonRes</vt:lpstr>
      <vt:lpstr>SrcPoprs</vt:lpstr>
      <vt:lpstr>SrcKA</vt:lpstr>
      <vt:lpstr>'Смета по ФСНБ 421+557прРИМ'!Заголовки_для_печати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12345</cp:lastModifiedBy>
  <cp:lastPrinted>2026-07-29T15:53:57Z</cp:lastPrinted>
  <dcterms:created xsi:type="dcterms:W3CDTF">2026-07-15T11:57:50Z</dcterms:created>
  <dcterms:modified xsi:type="dcterms:W3CDTF">2026-07-31T05:01:41Z</dcterms:modified>
</cp:coreProperties>
</file>