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407 Выполнение работ по изготовлению и поставке нестанд тех оборуд\"/>
    </mc:Choice>
  </mc:AlternateContent>
  <xr:revisionPtr revIDLastSave="0" documentId="8_{19A527A1-6C4E-41A3-9401-A0C3A437B709}" xr6:coauthVersionLast="47" xr6:coauthVersionMax="47" xr10:uidLastSave="{00000000-0000-0000-0000-000000000000}"/>
  <bookViews>
    <workbookView xWindow="-120" yWindow="-120" windowWidth="29040" windowHeight="15840" xr2:uid="{375C4C9A-75E7-45FB-AF79-105125436917}"/>
  </bookViews>
  <sheets>
    <sheet name="НМЦ" sheetId="1" r:id="rId1"/>
  </sheets>
  <externalReferences>
    <externalReference r:id="rId2"/>
  </externalReferences>
  <definedNames>
    <definedName name="ДаНет">#N/A</definedName>
    <definedName name="_xlnm.Print_Area" localSheetId="0">НМЦ!$A$3:$L$32</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 l="1"/>
  <c r="B28" i="1"/>
  <c r="B27" i="1"/>
  <c r="J24" i="1"/>
  <c r="B24" i="1"/>
  <c r="Q21" i="1"/>
  <c r="P21" i="1"/>
  <c r="Q20" i="1"/>
  <c r="P20" i="1"/>
  <c r="H20" i="1"/>
  <c r="G20" i="1"/>
  <c r="F20" i="1"/>
  <c r="E20" i="1"/>
  <c r="I20" i="1" s="1"/>
  <c r="Q19" i="1"/>
  <c r="P19" i="1"/>
  <c r="J19" i="1"/>
  <c r="K19" i="1" s="1"/>
  <c r="L19" i="1" s="1"/>
  <c r="I19" i="1"/>
  <c r="H19" i="1"/>
  <c r="B19" i="1"/>
  <c r="Q18" i="1"/>
  <c r="P18" i="1"/>
  <c r="J18" i="1"/>
  <c r="K18" i="1" s="1"/>
  <c r="L18" i="1" s="1"/>
  <c r="F18" i="1"/>
  <c r="G18" i="1" s="1"/>
  <c r="E18" i="1"/>
  <c r="Q17" i="1"/>
  <c r="P17" i="1"/>
  <c r="F12" i="1"/>
  <c r="F9" i="1"/>
  <c r="F8" i="1"/>
  <c r="F7" i="1"/>
  <c r="F6" i="1"/>
  <c r="L20" i="1" l="1"/>
  <c r="F11" i="1" s="1"/>
</calcChain>
</file>

<file path=xl/sharedStrings.xml><?xml version="1.0" encoding="utf-8"?>
<sst xmlns="http://schemas.openxmlformats.org/spreadsheetml/2006/main" count="56" uniqueCount="50">
  <si>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</si>
  <si>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</si>
  <si>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</si>
  <si>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</si>
  <si>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</si>
  <si>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</si>
  <si>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</si>
  <si>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</si>
  <si>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</si>
  <si>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</si>
  <si>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</si>
  <si>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</si>
  <si>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</si>
  <si>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Вх. № 3849 от 03.07.2026,; Вх. №4212 от 22.07.2026,; Вх. №4262 от 24.07.2026.</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</si>
  <si>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</si>
  <si>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</si>
  <si>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</si>
  <si>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</si>
  <si>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</si>
  <si>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</si>
  <si>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</si>
  <si>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</si>
  <si>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</si>
  <si>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</si>
  <si>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</si>
  <si>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</si>
  <si>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</si>
  <si>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</si>
  <si>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</si>
  <si>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</si>
  <si>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</si>
  <si>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</si>
  <si>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</si>
  <si>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</si>
  <si>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</si>
  <si>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</si>
  <si>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</si>
  <si>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</si>
  <si>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t>пример</t>
  </si>
  <si>
    <t>шт.</t>
  </si>
  <si>
    <t>Итого:</t>
  </si>
  <si>
    <t>X</t>
  </si>
  <si>
    <t>Х</t>
  </si>
  <si>
    <t xml:space="preserve">№4 </t>
  </si>
  <si>
    <t>Даты сбора информации</t>
  </si>
  <si>
    <t>№5</t>
  </si>
  <si>
    <t>формулы</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</si>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</sst>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6"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i/>
      <sz val="12"/>
      <color theme="8" tint="0.79998168889431442"/>
      <name val="Times New Roman"/>
      <family val="1"/>
      <charset val="204"/>
    </font>
    <font>
      <sz val="12"/>
      <color rgb="FF0070C0"/>
      <name val="Times New Roman"/>
      <family val="1"/>
      <charset val="204"/>
    </font>
    <font>
      <sz val="12"/>
      <color rgb="FFFF0000"/>
      <name val="Times New Roman"/>
      <family val="1"/>
      <charset val="204"/>
    </font>
    <font>
      <sz val="12"/>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2" fillId="0" borderId="0" applyAlignment="0"/>
  </cellStyleXfs>
  <cellXfs count="8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6" fillId="0" borderId="1" xfId="0" applyFont="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top" wrapText="1"/>
    </xf>
    <xf numFmtId="0" fontId="5" fillId="0" borderId="6" xfId="0" applyFont="1" applyBorder="1"/>
    <xf numFmtId="0" fontId="8" fillId="0" borderId="1" xfId="0" applyFont="1" applyBorder="1" applyAlignment="1">
      <alignment horizontal="center" vertical="center"/>
    </xf>
    <xf numFmtId="0" fontId="8" fillId="0" borderId="1" xfId="0" applyFont="1" applyBorder="1" applyAlignment="1">
      <alignment vertical="center" wrapText="1"/>
    </xf>
    <xf numFmtId="0" fontId="9"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3" fontId="3"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1" fillId="0" borderId="1" xfId="0" applyFont="1" applyBorder="1" applyAlignment="1">
      <alignment horizontal="left" vertical="center" wrapText="1" indent="3"/>
    </xf>
    <xf numFmtId="0" fontId="13" fillId="0" borderId="1" xfId="0" applyFont="1" applyBorder="1" applyAlignment="1">
      <alignment vertical="center" wrapText="1"/>
    </xf>
    <xf numFmtId="0" fontId="11" fillId="0" borderId="1" xfId="0" applyFont="1" applyBorder="1" applyAlignment="1">
      <alignment horizontal="center" vertical="center" wrapText="1"/>
    </xf>
    <xf numFmtId="4" fontId="13" fillId="0" borderId="1" xfId="0" applyNumberFormat="1" applyFont="1" applyBorder="1" applyAlignment="1">
      <alignment horizontal="center" vertical="center" wrapText="1"/>
    </xf>
    <xf numFmtId="165" fontId="13" fillId="0" borderId="1" xfId="1" applyFont="1" applyFill="1" applyBorder="1" applyAlignment="1">
      <alignment vertical="center" wrapText="1"/>
    </xf>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1" fillId="0"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1" xfId="0" applyFont="1" applyBorder="1"/>
    <xf numFmtId="0" fontId="3" fillId="0" borderId="0" xfId="0" applyFont="1" applyAlignment="1">
      <alignment horizontal="left" vertical="center" wrapText="1" indent="3"/>
    </xf>
    <xf numFmtId="0" fontId="9" fillId="0" borderId="0" xfId="0" applyFont="1" applyAlignment="1">
      <alignment horizontal="left" vertical="top" wrapText="1"/>
    </xf>
    <xf numFmtId="0" fontId="3" fillId="0" borderId="0" xfId="0" applyFont="1" applyAlignment="1">
      <alignment horizontal="left" vertical="center" wrapText="1"/>
    </xf>
    <xf numFmtId="0" fontId="2" fillId="0" borderId="0" xfId="0" applyFont="1" applyAlignment="1">
      <alignment horizontal="left"/>
    </xf>
    <xf numFmtId="0" fontId="4" fillId="0" borderId="7" xfId="0" applyFont="1" applyBorder="1"/>
    <xf numFmtId="0" fontId="2" fillId="0" borderId="7" xfId="0" applyFont="1" applyBorder="1" applyAlignment="1">
      <alignment horizontal="right" vertical="center"/>
    </xf>
    <xf numFmtId="0" fontId="2" fillId="0" borderId="0" xfId="0" applyFont="1"/>
    <xf numFmtId="49" fontId="3" fillId="0" borderId="0" xfId="0" applyNumberFormat="1" applyFont="1"/>
    <xf numFmtId="2" fontId="4" fillId="0" borderId="0" xfId="0" applyNumberFormat="1" applyFont="1" applyAlignment="1">
      <alignment horizontal="left" vertical="center"/>
    </xf>
    <xf numFmtId="2" fontId="14" fillId="0" borderId="0" xfId="3" applyNumberFormat="1" applyFont="1" applyAlignment="1">
      <alignment horizontal="left" vertical="center"/>
    </xf>
    <xf numFmtId="0" fontId="11" fillId="0" borderId="0" xfId="0" applyFont="1" applyAlignment="1">
      <alignment horizontal="left" vertical="top" wrapText="1"/>
    </xf>
    <xf numFmtId="0" fontId="11" fillId="0" borderId="0" xfId="0" applyFont="1"/>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5" fillId="0" borderId="0" xfId="0" applyFont="1"/>
    <xf numFmtId="0" fontId="3" fillId="0" borderId="0" xfId="3" applyFont="1" applyAlignment="1">
      <alignment horizontal="left" vertical="center" wrapText="1"/>
    </xf>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30D3C7A5-C259-405C-95D5-0E15DBB6C762}"/>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8;&#1079;&#1075;&#1086;&#1090;&#1086;&#1074;&#1083;&#1077;&#1085;&#1080;&#1077;%20&#1080;%20&#1087;&#1086;&#1089;&#1090;&#1072;&#1074;&#1082;&#1072;%20&#1089;&#1086;&#1087;&#1083;&#1072;%20&#1095;&#1077;&#1088;&#1090;.%2014034-20500%20(&#1080;&#1089;&#1087;&#1088;&#1072;&#1074;&#1083;&#1077;&#1085;&#1085;&#1086;&#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t="str">
            <v>05.08.2026 г.</v>
          </cell>
        </row>
        <row r="4">
          <cell r="C4" t="str">
            <v>Начальник 1 цеха</v>
          </cell>
          <cell r="D4" t="str">
            <v>А.И. Забродин</v>
          </cell>
        </row>
        <row r="66">
          <cell r="C66" t="str">
            <v xml:space="preserve">Выполнение работ по изготовлению и поставке составной части контейнера-смесителя (Сопло.черт. 14034-20500) </v>
          </cell>
        </row>
        <row r="67">
          <cell r="C67" t="str">
            <v xml:space="preserve">Метод сопоставимых рыночных цен (анализа рынка) </v>
          </cell>
        </row>
        <row r="68">
          <cell r="C68" t="str">
            <v xml:space="preserve">В течение 90 календарных дней с даты заключения договора. </v>
          </cell>
        </row>
        <row r="69">
          <cell r="C69" t="str">
            <v>Исх. №41-5501 от 30.07.2026; Исх. №41-5963 от 16.07.2026;список рассылки прилагается.</v>
          </cell>
        </row>
        <row r="77">
          <cell r="C77" t="str">
            <v>Ведущий инженер по подготовке производства И.В. Лабинская</v>
          </cell>
        </row>
        <row r="78">
          <cell r="C78" t="str">
            <v>65-928-903-992-94-74</v>
          </cell>
        </row>
      </sheetData>
      <sheetData sheetId="8"/>
      <sheetData sheetId="9"/>
      <sheetData sheetId="10"/>
      <sheetData sheetId="11"/>
      <sheetData sheetId="12">
        <row r="10">
          <cell r="B10" t="str">
            <v xml:space="preserve">Выполнение работ по изготовлению и поставке составной части контейнера-смесителя (Сопло.черт. 14034-20500) </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3B937-2F65-4613-A980-F490377D644F}">
  <sheetPr>
    <tabColor rgb="FF00B050"/>
    <pageSetUpPr fitToPage="1"/>
  </sheetPr>
  <dimension ref="A1:V44"/>
  <sheetViews>
    <sheetView tabSelected="1" view="pageBreakPreview" topLeftCell="A9" zoomScale="80" zoomScaleNormal="100" zoomScaleSheetLayoutView="80" workbookViewId="0">
      <selection activeCell="L25" sqref="L25"/>
    </sheetView>
  </sheetViews>
  <sheetFormatPr defaultColWidth="9.140625" defaultRowHeight="15.75" outlineLevelRow="1" x14ac:dyDescent="0.25"/>
  <cols>
    <col min="1" max="1" width="5.7109375" style="2" customWidth="1"/>
    <col min="2" max="2" width="22.7109375" style="2" customWidth="1"/>
    <col min="3" max="3" width="9.28515625" style="2" customWidth="1"/>
    <col min="4" max="4" width="8.5703125" style="2" customWidth="1"/>
    <col min="5" max="5" width="15.85546875" style="2" customWidth="1"/>
    <col min="6" max="6" width="15.5703125" style="2" customWidth="1"/>
    <col min="7" max="7" width="15.140625" style="2" customWidth="1"/>
    <col min="8" max="8" width="15.5703125" style="2" customWidth="1"/>
    <col min="9" max="9" width="14.140625" style="2" customWidth="1"/>
    <col min="10" max="10" width="12.7109375" style="2" customWidth="1"/>
    <col min="11" max="11" width="20.28515625" style="2" bestFit="1" customWidth="1"/>
    <col min="12" max="12" width="20.140625" style="2" bestFit="1" customWidth="1"/>
    <col min="13" max="13" width="6.140625" style="2" customWidth="1"/>
    <col min="14" max="15" width="8.5703125" style="2" customWidth="1"/>
    <col min="16" max="16" width="25.42578125" style="2" customWidth="1"/>
    <col min="17" max="17" width="28.140625" style="2" customWidth="1"/>
    <col min="18" max="18" width="12" style="2" customWidth="1"/>
    <col min="19" max="19" width="8.5703125" style="2" customWidth="1"/>
    <col min="20" max="20" width="10.28515625" style="2" customWidth="1"/>
    <col min="21" max="1019" width="8.7109375" style="2" customWidth="1"/>
    <col min="1020" max="16384" width="9.140625" style="2"/>
  </cols>
  <sheetData>
    <row r="1" spans="1:22" ht="18.75" hidden="1" outlineLevel="1" x14ac:dyDescent="0.3">
      <c r="A1" s="1" t="s">
        <v>0</v>
      </c>
      <c r="B1" s="1"/>
      <c r="C1" s="1"/>
      <c r="D1" s="1"/>
      <c r="E1" s="1"/>
      <c r="F1" s="1"/>
      <c r="G1" s="1"/>
      <c r="H1" s="1"/>
      <c r="I1" s="1"/>
      <c r="J1" s="1"/>
      <c r="K1" s="1"/>
      <c r="L1" s="1"/>
    </row>
    <row r="2" spans="1:22" ht="18.75" hidden="1" outlineLevel="1" x14ac:dyDescent="0.3">
      <c r="C2" s="3"/>
      <c r="D2" s="3"/>
      <c r="L2" s="4" t="s">
        <v>1</v>
      </c>
    </row>
    <row r="3" spans="1:22" ht="18.75" collapsed="1" x14ac:dyDescent="0.25">
      <c r="A3" s="5" t="s">
        <v>2</v>
      </c>
      <c r="B3" s="5"/>
      <c r="C3" s="5"/>
      <c r="D3" s="5"/>
      <c r="E3" s="5"/>
      <c r="F3" s="5"/>
      <c r="G3" s="5"/>
      <c r="H3" s="5"/>
      <c r="I3" s="5"/>
      <c r="J3" s="5"/>
      <c r="K3" s="5"/>
      <c r="L3" s="5"/>
      <c r="R3" s="6" t="s">
        <v>3</v>
      </c>
      <c r="S3" s="7" t="s">
        <v>4</v>
      </c>
      <c r="T3" s="8" t="s">
        <v>5</v>
      </c>
      <c r="U3" s="8"/>
      <c r="V3" s="8"/>
    </row>
    <row r="4" spans="1:22" ht="18.75" x14ac:dyDescent="0.25">
      <c r="A4" s="9" t="s">
        <v>6</v>
      </c>
      <c r="B4" s="9"/>
      <c r="C4" s="9"/>
      <c r="D4" s="9"/>
      <c r="E4" s="9"/>
      <c r="F4" s="9"/>
      <c r="G4" s="9"/>
      <c r="H4" s="9"/>
      <c r="I4" s="9"/>
      <c r="J4" s="9"/>
      <c r="K4" s="9"/>
      <c r="L4" s="9"/>
      <c r="M4" s="10"/>
      <c r="N4" s="10"/>
      <c r="O4" s="11"/>
      <c r="P4" s="11"/>
      <c r="Q4" s="11"/>
      <c r="R4" s="12">
        <v>2023</v>
      </c>
      <c r="S4" s="13"/>
      <c r="T4" s="14"/>
      <c r="U4" s="14"/>
      <c r="V4" s="14"/>
    </row>
    <row r="5" spans="1:22" ht="15.75" customHeight="1" x14ac:dyDescent="0.25">
      <c r="A5" s="15"/>
      <c r="M5" s="16"/>
      <c r="N5" s="17"/>
      <c r="O5" s="17"/>
      <c r="P5" s="17"/>
      <c r="Q5" s="17"/>
      <c r="R5" s="12">
        <v>2024</v>
      </c>
      <c r="S5" s="13">
        <v>108.5</v>
      </c>
      <c r="T5" s="18">
        <v>1.085</v>
      </c>
      <c r="U5" s="14"/>
      <c r="V5" s="14"/>
    </row>
    <row r="6" spans="1:22" ht="38.25" customHeight="1" x14ac:dyDescent="0.25">
      <c r="A6" s="19" t="s">
        <v>7</v>
      </c>
      <c r="B6" s="19"/>
      <c r="C6" s="19"/>
      <c r="D6" s="19"/>
      <c r="E6" s="19"/>
      <c r="F6" s="19" t="str">
        <f>[1]ЗАКУПКА!C66</f>
        <v xml:space="preserve">Выполнение работ по изготовлению и поставке составной части контейнера-смесителя (Сопло.черт. 14034-20500) </v>
      </c>
      <c r="G6" s="19"/>
      <c r="H6" s="19"/>
      <c r="I6" s="19"/>
      <c r="J6" s="19"/>
      <c r="K6" s="19"/>
      <c r="L6" s="19"/>
      <c r="M6" s="16"/>
      <c r="N6" s="17"/>
      <c r="O6" s="17"/>
      <c r="P6" s="17"/>
      <c r="Q6" s="17"/>
      <c r="R6" s="12">
        <v>2025</v>
      </c>
      <c r="S6" s="13">
        <v>109</v>
      </c>
      <c r="T6" s="18">
        <v>1.0900000000000001</v>
      </c>
      <c r="U6" s="14"/>
      <c r="V6" s="14"/>
    </row>
    <row r="7" spans="1:22"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6"/>
      <c r="N7" s="17"/>
      <c r="O7" s="17"/>
      <c r="P7" s="17"/>
      <c r="Q7" s="17"/>
      <c r="R7" s="12">
        <v>2026</v>
      </c>
      <c r="S7" s="13">
        <v>105.1</v>
      </c>
      <c r="T7" s="18">
        <v>1.0509999999999999</v>
      </c>
      <c r="U7" s="14"/>
      <c r="V7" s="14"/>
    </row>
    <row r="8" spans="1:22" ht="36.6" customHeight="1" x14ac:dyDescent="0.25">
      <c r="A8" s="19" t="s">
        <v>9</v>
      </c>
      <c r="B8" s="19"/>
      <c r="C8" s="19"/>
      <c r="D8" s="19"/>
      <c r="E8" s="19"/>
      <c r="F8" s="19" t="str">
        <f>[1]ЗАКУПКА!C68</f>
        <v xml:space="preserve">В течение 90 календарных дней с даты заключения договора. </v>
      </c>
      <c r="G8" s="19"/>
      <c r="H8" s="19"/>
      <c r="I8" s="19"/>
      <c r="J8" s="19"/>
      <c r="K8" s="19"/>
      <c r="L8" s="19"/>
      <c r="M8" s="20"/>
      <c r="N8" s="17"/>
      <c r="O8" s="17"/>
      <c r="P8" s="17"/>
      <c r="Q8" s="17"/>
      <c r="R8" s="21">
        <v>2027</v>
      </c>
      <c r="S8" s="22">
        <v>104</v>
      </c>
      <c r="T8" s="18">
        <v>1.04</v>
      </c>
      <c r="U8" s="14"/>
      <c r="V8" s="14"/>
    </row>
    <row r="9" spans="1:22" ht="40.5" customHeight="1" x14ac:dyDescent="0.25">
      <c r="A9" s="19" t="s">
        <v>10</v>
      </c>
      <c r="B9" s="19"/>
      <c r="C9" s="19"/>
      <c r="D9" s="19"/>
      <c r="E9" s="19"/>
      <c r="F9" s="23" t="str">
        <f>[1]ЗАКУПКА!C69</f>
        <v>Исх. №41-5501 от 30.07.2026; Исх. №41-5963 от 16.07.2026;список рассылки прилагается.</v>
      </c>
      <c r="G9" s="23"/>
      <c r="H9" s="23"/>
      <c r="I9" s="23"/>
      <c r="J9" s="23"/>
      <c r="K9" s="23"/>
      <c r="L9" s="23"/>
      <c r="M9" s="24" t="s">
        <v>11</v>
      </c>
      <c r="N9" s="25"/>
      <c r="O9" s="25"/>
      <c r="P9" s="25"/>
      <c r="Q9" s="17"/>
      <c r="R9" s="21">
        <v>2028</v>
      </c>
      <c r="S9" s="22">
        <v>104</v>
      </c>
      <c r="T9" s="18">
        <v>1.04</v>
      </c>
      <c r="U9" s="14"/>
      <c r="V9" s="14"/>
    </row>
    <row r="10" spans="1:22" ht="40.5" customHeight="1" x14ac:dyDescent="0.25">
      <c r="A10" s="19" t="s">
        <v>12</v>
      </c>
      <c r="B10" s="19"/>
      <c r="C10" s="19"/>
      <c r="D10" s="19"/>
      <c r="E10" s="19"/>
      <c r="F10" s="23" t="s">
        <v>13</v>
      </c>
      <c r="G10" s="23"/>
      <c r="H10" s="23"/>
      <c r="I10" s="23"/>
      <c r="J10" s="23"/>
      <c r="K10" s="23"/>
      <c r="L10" s="23"/>
      <c r="M10" s="24" t="s">
        <v>14</v>
      </c>
      <c r="N10" s="25"/>
      <c r="O10" s="25"/>
      <c r="P10" s="25"/>
      <c r="Q10" s="17"/>
    </row>
    <row r="11" spans="1:22" ht="96" customHeight="1" x14ac:dyDescent="0.25">
      <c r="A11" s="19" t="s">
        <v>15</v>
      </c>
      <c r="B11" s="19"/>
      <c r="C11" s="19"/>
      <c r="D11" s="19"/>
      <c r="E11" s="19"/>
      <c r="F11" s="23" t="str">
        <f>CONCATENATE(L20," (Один  миллион девятьсот семьдесят семь тысяч восемьсот четыре) рубля 22 копейки, с учетом НДС 22%")</f>
        <v>1977816,22 (Один  миллион девятьсот семьдесят семь тысяч восемьсот четыре) рубля 22 копейки, с учетом НДС 22%</v>
      </c>
      <c r="G11" s="23"/>
      <c r="H11" s="23"/>
      <c r="I11" s="23"/>
      <c r="J11" s="23"/>
      <c r="K11" s="23"/>
      <c r="L11" s="23"/>
      <c r="M11" s="26" t="s">
        <v>16</v>
      </c>
      <c r="N11" s="17"/>
      <c r="O11" s="17"/>
      <c r="Q11" s="17"/>
      <c r="R11" s="17"/>
      <c r="S11" s="17"/>
    </row>
    <row r="12" spans="1:22" ht="21" customHeight="1" x14ac:dyDescent="0.25">
      <c r="A12" s="19" t="s">
        <v>17</v>
      </c>
      <c r="B12" s="19"/>
      <c r="C12" s="19"/>
      <c r="D12" s="19"/>
      <c r="E12" s="19"/>
      <c r="F12" s="27" t="str">
        <f>[1]ЗАКУПКА!B1</f>
        <v>05.08.2026 г.</v>
      </c>
      <c r="G12" s="27"/>
      <c r="H12" s="27"/>
      <c r="I12" s="27"/>
      <c r="J12" s="27"/>
      <c r="K12" s="27"/>
      <c r="L12" s="27"/>
      <c r="M12" s="28" t="s">
        <v>18</v>
      </c>
      <c r="N12" s="17"/>
      <c r="O12" s="17"/>
      <c r="P12" s="17"/>
      <c r="Q12" s="17"/>
      <c r="R12" s="17"/>
      <c r="S12" s="17"/>
    </row>
    <row r="13" spans="1:22" ht="15" customHeight="1" x14ac:dyDescent="0.25">
      <c r="A13" s="29"/>
      <c r="B13" s="29"/>
      <c r="C13" s="29"/>
      <c r="D13" s="29"/>
      <c r="E13" s="29"/>
      <c r="F13" s="29"/>
      <c r="G13" s="29"/>
      <c r="H13" s="29"/>
      <c r="I13" s="29"/>
      <c r="J13" s="29"/>
      <c r="K13" s="29"/>
      <c r="L13" s="29"/>
      <c r="M13" s="17"/>
      <c r="N13" s="17"/>
      <c r="O13" s="17"/>
      <c r="P13" s="17"/>
      <c r="Q13" s="17"/>
      <c r="R13" s="17"/>
      <c r="S13" s="17"/>
    </row>
    <row r="14" spans="1:22" ht="15" customHeight="1" x14ac:dyDescent="0.25">
      <c r="A14" s="30" t="s">
        <v>19</v>
      </c>
      <c r="B14" s="30"/>
      <c r="C14" s="30"/>
      <c r="D14" s="30"/>
      <c r="E14" s="30"/>
      <c r="F14" s="30"/>
      <c r="G14" s="30"/>
      <c r="H14" s="30"/>
      <c r="I14" s="30"/>
      <c r="J14" s="30"/>
      <c r="K14" s="30"/>
      <c r="L14" s="30"/>
      <c r="M14" s="17"/>
      <c r="N14" s="17"/>
      <c r="O14" s="17"/>
      <c r="P14" s="17"/>
      <c r="Q14" s="17"/>
      <c r="R14" s="17"/>
      <c r="S14" s="17"/>
    </row>
    <row r="15" spans="1:22" x14ac:dyDescent="0.25">
      <c r="P15" s="31" t="s">
        <v>20</v>
      </c>
    </row>
    <row r="16" spans="1:22" s="36" customFormat="1" ht="141.75" x14ac:dyDescent="0.25">
      <c r="A16" s="32" t="s">
        <v>21</v>
      </c>
      <c r="B16" s="32" t="s">
        <v>22</v>
      </c>
      <c r="C16" s="32" t="s">
        <v>23</v>
      </c>
      <c r="D16" s="32" t="s">
        <v>24</v>
      </c>
      <c r="E16" s="33" t="s">
        <v>25</v>
      </c>
      <c r="F16" s="34"/>
      <c r="G16" s="34"/>
      <c r="H16" s="6" t="s">
        <v>26</v>
      </c>
      <c r="I16" s="6" t="s">
        <v>27</v>
      </c>
      <c r="J16" s="6" t="s">
        <v>28</v>
      </c>
      <c r="K16" s="35" t="s">
        <v>29</v>
      </c>
      <c r="L16" s="6" t="s">
        <v>30</v>
      </c>
      <c r="N16" s="37"/>
      <c r="O16" s="38" t="s">
        <v>31</v>
      </c>
      <c r="P16" s="38" t="s">
        <v>32</v>
      </c>
      <c r="Q16" s="6" t="s">
        <v>33</v>
      </c>
      <c r="R16" s="6" t="s">
        <v>34</v>
      </c>
    </row>
    <row r="17" spans="1:18" s="36" customFormat="1" ht="37.5" customHeight="1" x14ac:dyDescent="0.25">
      <c r="A17" s="39"/>
      <c r="B17" s="39"/>
      <c r="C17" s="39"/>
      <c r="D17" s="39"/>
      <c r="E17" s="6" t="s">
        <v>35</v>
      </c>
      <c r="F17" s="6" t="s">
        <v>36</v>
      </c>
      <c r="G17" s="6" t="s">
        <v>37</v>
      </c>
      <c r="H17" s="40"/>
      <c r="I17" s="40"/>
      <c r="J17" s="41"/>
      <c r="K17" s="40"/>
      <c r="L17" s="42"/>
      <c r="M17" s="17"/>
      <c r="N17" s="40" t="s">
        <v>35</v>
      </c>
      <c r="O17" s="43">
        <v>2723123664</v>
      </c>
      <c r="P17" s="43" t="str">
        <f>VLOOKUP(O17,[1]Контрагенты!$A$3:$H$3248,4,FALSE)</f>
        <v>ООО "ЦЛХ"</v>
      </c>
      <c r="Q17" s="44">
        <f>VLOOKUP(O17,[1]Контрагенты!$A$3:$H$3248,7,FALSE)</f>
        <v>0</v>
      </c>
      <c r="R17" s="45" t="s">
        <v>38</v>
      </c>
    </row>
    <row r="18" spans="1:18" ht="14.25" customHeight="1" x14ac:dyDescent="0.25">
      <c r="A18" s="46">
        <v>1</v>
      </c>
      <c r="B18" s="46">
        <v>2</v>
      </c>
      <c r="C18" s="46">
        <v>3</v>
      </c>
      <c r="D18" s="46">
        <v>4</v>
      </c>
      <c r="E18" s="46">
        <f>D18+1</f>
        <v>5</v>
      </c>
      <c r="F18" s="46">
        <f t="shared" ref="F18:L18" si="0">E18+1</f>
        <v>6</v>
      </c>
      <c r="G18" s="46">
        <f t="shared" si="0"/>
        <v>7</v>
      </c>
      <c r="H18" s="46">
        <v>8</v>
      </c>
      <c r="I18" s="46">
        <v>9</v>
      </c>
      <c r="J18" s="46">
        <f t="shared" si="0"/>
        <v>10</v>
      </c>
      <c r="K18" s="46">
        <f t="shared" si="0"/>
        <v>11</v>
      </c>
      <c r="L18" s="46">
        <f t="shared" si="0"/>
        <v>12</v>
      </c>
      <c r="M18" s="17"/>
      <c r="N18" s="6" t="s">
        <v>36</v>
      </c>
      <c r="O18" s="47"/>
      <c r="P18" s="8" t="str">
        <f>VLOOKUP(O18,[1]Контрагенты!$A$3:$H$3248,4,FALSE)</f>
        <v>ООО "Сантехресурс+"</v>
      </c>
      <c r="Q18" s="48" t="str">
        <f>VLOOKUP(O18,[1]Контрагенты!$A$3:$H$3248,7,FALSE)</f>
        <v/>
      </c>
    </row>
    <row r="19" spans="1:18" ht="110.25" x14ac:dyDescent="0.25">
      <c r="A19" s="46">
        <v>1</v>
      </c>
      <c r="B19" s="46" t="str">
        <f>'[1]Спец-я'!B10</f>
        <v xml:space="preserve">Выполнение работ по изготовлению и поставке составной части контейнера-смесителя (Сопло.черт. 14034-20500) </v>
      </c>
      <c r="C19" s="46" t="s">
        <v>39</v>
      </c>
      <c r="D19" s="49">
        <v>2</v>
      </c>
      <c r="E19" s="50">
        <v>988902.11</v>
      </c>
      <c r="F19" s="50">
        <v>1056686</v>
      </c>
      <c r="G19" s="50">
        <v>1795061.64</v>
      </c>
      <c r="H19" s="51">
        <f>IFERROR(ROUND(AVERAGEIF(E19:G19,"&gt;0"),2),"")</f>
        <v>1280216.58</v>
      </c>
      <c r="I19" s="52">
        <f>IFERROR(_xlfn.STDEV.P($E19:$G19),"")</f>
        <v>365100.66029015457</v>
      </c>
      <c r="J19" s="52">
        <f>IFERROR(I19/H19,"")</f>
        <v>0.28518663638159925</v>
      </c>
      <c r="K19" s="52">
        <f>IF(J19&lt;0.06,H19,IF(J19&gt;0.32,$M$20,MIN(E19:G19)))</f>
        <v>988902.11</v>
      </c>
      <c r="L19" s="52">
        <f>IFERROR(K19*D19,"")</f>
        <v>1977804.22</v>
      </c>
      <c r="M19" s="17"/>
      <c r="N19" s="6" t="s">
        <v>37</v>
      </c>
      <c r="O19" s="47"/>
      <c r="P19" s="8" t="str">
        <f>VLOOKUP(O19,[1]Контрагенты!$A$3:$H$3248,4,FALSE)</f>
        <v>ООО "Сантехресурс+"</v>
      </c>
      <c r="Q19" s="48" t="str">
        <f>VLOOKUP(O19,[1]Контрагенты!$A$3:$H$3248,7,FALSE)</f>
        <v/>
      </c>
    </row>
    <row r="20" spans="1:18" outlineLevel="1" x14ac:dyDescent="0.25">
      <c r="A20" s="53"/>
      <c r="B20" s="54" t="s">
        <v>40</v>
      </c>
      <c r="C20" s="55" t="s">
        <v>41</v>
      </c>
      <c r="D20" s="55" t="s">
        <v>41</v>
      </c>
      <c r="E20" s="56">
        <f>IFERROR(SUMPRODUCT($D$19:$D$19,E19:E19),"Х")</f>
        <v>1977804.22</v>
      </c>
      <c r="F20" s="56">
        <f>IFERROR(SUMPRODUCT($D$19:$D$19,F19:F19),"Х")</f>
        <v>2113372</v>
      </c>
      <c r="G20" s="56">
        <f>IFERROR(SUMPRODUCT($D$19:$D$19,G19:G19),"Х")</f>
        <v>3590123.28</v>
      </c>
      <c r="H20" s="51">
        <f>IFERROR(ROUND(AVERAGEIF(D20:G20,"&gt;0"),2),"")</f>
        <v>2560433.17</v>
      </c>
      <c r="I20" s="52">
        <f>_xlfn.STDEV.P($E20:$G20)</f>
        <v>730201.32058030914</v>
      </c>
      <c r="J20" s="55" t="s">
        <v>42</v>
      </c>
      <c r="K20" s="55" t="s">
        <v>42</v>
      </c>
      <c r="L20" s="57">
        <f>SUM(L12:L19)</f>
        <v>1977816.22</v>
      </c>
      <c r="M20" s="17"/>
      <c r="N20" s="6" t="s">
        <v>43</v>
      </c>
      <c r="O20" s="47"/>
      <c r="P20" s="8" t="str">
        <f>VLOOKUP(O20,[1]Контрагенты!$A$3:$H$3248,4,FALSE)</f>
        <v>ООО "Сантехресурс+"</v>
      </c>
      <c r="Q20" s="48" t="str">
        <f>VLOOKUP(O20,[1]Контрагенты!$A$3:$H$3248,7,FALSE)</f>
        <v/>
      </c>
    </row>
    <row r="21" spans="1:18" ht="31.5" outlineLevel="1" x14ac:dyDescent="0.25">
      <c r="A21" s="58"/>
      <c r="B21" s="59" t="s">
        <v>44</v>
      </c>
      <c r="C21" s="60"/>
      <c r="D21" s="60"/>
      <c r="E21" s="61">
        <v>46206</v>
      </c>
      <c r="F21" s="61">
        <v>46225</v>
      </c>
      <c r="G21" s="61">
        <v>46227</v>
      </c>
      <c r="H21" s="62"/>
      <c r="I21" s="63"/>
      <c r="J21" s="63"/>
      <c r="K21" s="62"/>
      <c r="L21" s="64"/>
      <c r="M21" s="17"/>
      <c r="N21" s="6" t="s">
        <v>45</v>
      </c>
      <c r="O21" s="47"/>
      <c r="P21" s="8" t="str">
        <f>VLOOKUP(O21,[1]Контрагенты!$A$3:$H$3248,4,FALSE)</f>
        <v>ООО "Сантехресурс+"</v>
      </c>
      <c r="Q21" s="48" t="str">
        <f>VLOOKUP(O21,[1]Контрагенты!$A$3:$H$3248,7,FALSE)</f>
        <v/>
      </c>
    </row>
    <row r="22" spans="1:18" outlineLevel="1" x14ac:dyDescent="0.25">
      <c r="A22" s="65"/>
      <c r="B22" s="65"/>
      <c r="C22" s="65"/>
      <c r="D22" s="65"/>
      <c r="E22" s="65"/>
      <c r="F22" s="65"/>
      <c r="G22" s="65"/>
      <c r="H22" s="65"/>
      <c r="I22" s="65"/>
      <c r="J22" s="65"/>
      <c r="K22" s="65"/>
      <c r="M22" s="17"/>
      <c r="N22" s="17"/>
      <c r="O22" s="17"/>
      <c r="P22" s="66" t="s">
        <v>46</v>
      </c>
      <c r="Q22" s="66" t="s">
        <v>46</v>
      </c>
    </row>
    <row r="23" spans="1:18" outlineLevel="1" x14ac:dyDescent="0.25">
      <c r="A23" s="67"/>
      <c r="B23" s="67"/>
      <c r="C23" s="67"/>
      <c r="D23" s="67"/>
      <c r="E23" s="67"/>
      <c r="F23" s="67"/>
      <c r="G23" s="67"/>
      <c r="H23" s="67"/>
      <c r="I23" s="67"/>
      <c r="J23" s="67"/>
      <c r="K23" s="67"/>
      <c r="M23" s="17"/>
      <c r="N23" s="17"/>
      <c r="O23" s="17"/>
      <c r="P23" s="66"/>
      <c r="Q23" s="66"/>
    </row>
    <row r="24" spans="1:18" ht="18.75" outlineLevel="1" x14ac:dyDescent="0.3">
      <c r="B24" s="68" t="str">
        <f>[1]ЗАКУПКА!C4</f>
        <v>Начальник 1 цеха</v>
      </c>
      <c r="C24" s="3"/>
      <c r="D24" s="3"/>
      <c r="E24" s="3"/>
      <c r="F24" s="3"/>
      <c r="G24" s="3"/>
      <c r="H24" s="69"/>
      <c r="I24" s="70"/>
      <c r="J24" s="71" t="str">
        <f>[1]ЗАКУПКА!D4</f>
        <v>А.И. Забродин</v>
      </c>
      <c r="K24" s="36"/>
      <c r="M24" s="17"/>
      <c r="N24" s="17"/>
      <c r="O24" s="17"/>
      <c r="P24" s="17"/>
      <c r="Q24" s="17"/>
    </row>
    <row r="25" spans="1:18" ht="18.75" outlineLevel="1" x14ac:dyDescent="0.3">
      <c r="B25" s="3"/>
      <c r="C25" s="3"/>
      <c r="D25" s="3"/>
      <c r="E25" s="3"/>
      <c r="F25" s="3"/>
      <c r="G25" s="3"/>
      <c r="H25" s="3"/>
      <c r="I25" s="3"/>
      <c r="J25" s="3"/>
      <c r="N25" s="17"/>
      <c r="O25" s="17"/>
      <c r="P25" s="17"/>
      <c r="Q25" s="17"/>
    </row>
    <row r="26" spans="1:18" ht="47.25" customHeight="1" outlineLevel="1" x14ac:dyDescent="0.3">
      <c r="B26" s="3"/>
      <c r="C26" s="3"/>
      <c r="D26" s="3"/>
      <c r="E26" s="3"/>
      <c r="F26" s="3"/>
      <c r="G26" s="3"/>
      <c r="H26" s="3"/>
      <c r="I26" s="3"/>
      <c r="J26" s="3"/>
      <c r="L26" s="72"/>
      <c r="M26" s="17"/>
      <c r="N26" s="17"/>
      <c r="O26" s="17"/>
      <c r="P26" s="17"/>
      <c r="Q26" s="17"/>
    </row>
    <row r="27" spans="1:18" s="76" customFormat="1" ht="30" customHeight="1" x14ac:dyDescent="0.3">
      <c r="A27" s="2"/>
      <c r="B27" s="73" t="str">
        <f>[1]ЗАКУПКА!C77</f>
        <v>Ведущий инженер по подготовке производства И.В. Лабинская</v>
      </c>
      <c r="C27" s="3"/>
      <c r="D27" s="3"/>
      <c r="E27" s="3"/>
      <c r="F27" s="3"/>
      <c r="G27" s="3"/>
      <c r="H27" s="3"/>
      <c r="I27" s="3"/>
      <c r="J27" s="3"/>
      <c r="K27" s="2"/>
      <c r="L27" s="74"/>
      <c r="M27" s="17"/>
      <c r="N27" s="75"/>
      <c r="O27" s="17"/>
      <c r="P27" s="17"/>
      <c r="Q27" s="75"/>
    </row>
    <row r="28" spans="1:18" ht="14.25" customHeight="1" x14ac:dyDescent="0.3">
      <c r="B28" s="77" t="str">
        <f>[1]ЗАКУПКА!C78</f>
        <v>65-928-903-992-94-74</v>
      </c>
      <c r="C28" s="3"/>
      <c r="D28" s="3"/>
      <c r="E28" s="3"/>
      <c r="F28" s="3"/>
      <c r="G28" s="3"/>
      <c r="H28" s="3"/>
      <c r="I28" s="3"/>
      <c r="J28" s="3"/>
      <c r="M28" s="17"/>
      <c r="N28" s="17"/>
      <c r="P28" s="17"/>
      <c r="Q28" s="17"/>
    </row>
    <row r="29" spans="1:18" ht="18.75" x14ac:dyDescent="0.3">
      <c r="B29" s="78" t="s">
        <v>47</v>
      </c>
      <c r="C29" s="79" t="str">
        <f>[1]ЗАКУПКА!B1</f>
        <v>05.08.2026 г.</v>
      </c>
      <c r="D29" s="79"/>
      <c r="E29" s="3"/>
      <c r="F29" s="3"/>
      <c r="G29" s="3"/>
      <c r="H29" s="3"/>
      <c r="I29" s="3"/>
      <c r="J29" s="3"/>
      <c r="L29" s="65"/>
      <c r="N29" s="17"/>
      <c r="O29" s="17"/>
      <c r="P29" s="17"/>
      <c r="Q29" s="17"/>
      <c r="R29" s="17"/>
    </row>
    <row r="30" spans="1:18" ht="18.75" x14ac:dyDescent="0.3">
      <c r="B30" s="3"/>
      <c r="C30" s="3"/>
      <c r="D30" s="3"/>
      <c r="E30" s="3"/>
      <c r="F30" s="3"/>
      <c r="G30" s="3"/>
      <c r="H30" s="3"/>
      <c r="I30" s="3"/>
      <c r="J30" s="3"/>
      <c r="L30" s="67"/>
      <c r="N30" s="17"/>
    </row>
    <row r="33" spans="1:12" x14ac:dyDescent="0.25">
      <c r="A33" s="80" t="s">
        <v>48</v>
      </c>
    </row>
    <row r="34" spans="1:12" ht="148.5" customHeight="1" x14ac:dyDescent="0.25">
      <c r="A34" s="81" t="s">
        <v>49</v>
      </c>
      <c r="B34" s="81"/>
      <c r="C34" s="81"/>
      <c r="D34" s="81"/>
      <c r="E34" s="81"/>
      <c r="F34" s="81"/>
      <c r="G34" s="81"/>
      <c r="H34" s="81"/>
      <c r="I34" s="81"/>
      <c r="J34" s="81"/>
      <c r="K34" s="81"/>
      <c r="L34" s="81"/>
    </row>
    <row r="38" spans="1:12" ht="15.75" customHeight="1" x14ac:dyDescent="0.25"/>
    <row r="40" spans="1:12" outlineLevel="1" x14ac:dyDescent="0.25"/>
    <row r="41" spans="1:12" ht="170.25" customHeight="1" outlineLevel="1" x14ac:dyDescent="0.25">
      <c r="L41" s="82"/>
    </row>
    <row r="44" spans="1:12" x14ac:dyDescent="0.25">
      <c r="L44" s="83"/>
    </row>
  </sheetData>
  <mergeCells count="27">
    <mergeCell ref="C29:D29"/>
    <mergeCell ref="A34:L34"/>
    <mergeCell ref="A11:E11"/>
    <mergeCell ref="F11:L11"/>
    <mergeCell ref="A12:E12"/>
    <mergeCell ref="F12:L12"/>
    <mergeCell ref="A14:L14"/>
    <mergeCell ref="A16:A17"/>
    <mergeCell ref="B16:B17"/>
    <mergeCell ref="C16:C17"/>
    <mergeCell ref="D16:D17"/>
    <mergeCell ref="E16:G16"/>
    <mergeCell ref="A8:E8"/>
    <mergeCell ref="F8:L8"/>
    <mergeCell ref="A9:E9"/>
    <mergeCell ref="F9:L9"/>
    <mergeCell ref="M9:P9"/>
    <mergeCell ref="A10:E10"/>
    <mergeCell ref="F10:L10"/>
    <mergeCell ref="M10:P10"/>
    <mergeCell ref="A1:L1"/>
    <mergeCell ref="A3:L3"/>
    <mergeCell ref="A4:L4"/>
    <mergeCell ref="A6:E6"/>
    <mergeCell ref="F6:L6"/>
    <mergeCell ref="A7:E7"/>
    <mergeCell ref="F7:L7"/>
  </mergeCells>
  <pageMargins left="0.59" right="0.24" top="0.6" bottom="0.75" header="0.51180555555555496" footer="0.51180555555555496"/>
  <pageSetup paperSize="9" scale="53" firstPageNumber="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2026-08-25T04:53:48Z</dcterms:created>
  <dcterms:modified xsi:type="dcterms:W3CDTF">2026-08-25T04:54:24Z</dcterms:modified>
</cp:coreProperties>
</file>