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montova_VA\AppData\Roaming\1C\1cv8\00000000-0000-0000-0000-000000000000\fe8a87d4-8be0-4d9b-8566-2b54e1bbf3b8\App\"/>
    </mc:Choice>
  </mc:AlternateContent>
  <bookViews>
    <workbookView xWindow="0" yWindow="0" windowWidth="28800" windowHeight="12435"/>
  </bookViews>
  <sheets>
    <sheet name="Лист1" sheetId="1" r:id="rId1"/>
  </sheets>
  <calcPr calcId="162913" fullPrecision="0"/>
</workbook>
</file>

<file path=xl/calcChain.xml><?xml version="1.0" encoding="utf-8"?>
<calcChain xmlns="http://schemas.openxmlformats.org/spreadsheetml/2006/main">
  <c r="G6" i="1" l="1"/>
  <c r="M6" i="1"/>
  <c r="M7" i="1"/>
  <c r="M5" i="1"/>
  <c r="M8" i="1"/>
  <c r="G8" i="1"/>
  <c r="M4" i="1"/>
  <c r="G7" i="1"/>
  <c r="G5" i="1"/>
  <c r="G4" i="1"/>
  <c r="N4" i="1" s="1"/>
  <c r="O4" i="1" s="1"/>
  <c r="P4" i="1" s="1"/>
  <c r="Q4" i="1" s="1"/>
  <c r="D4" i="1"/>
  <c r="J4" i="1" l="1"/>
  <c r="K7" i="1"/>
  <c r="D7" i="1"/>
  <c r="K8" i="1"/>
  <c r="D8" i="1"/>
  <c r="J7" i="1" l="1"/>
  <c r="L7" i="1" s="1"/>
  <c r="N7" i="1"/>
  <c r="O7" i="1" s="1"/>
  <c r="P7" i="1" s="1"/>
  <c r="Q7" i="1" s="1"/>
  <c r="J8" i="1"/>
  <c r="L8" i="1" s="1"/>
  <c r="N8" i="1"/>
  <c r="O8" i="1" s="1"/>
  <c r="P8" i="1" s="1"/>
  <c r="Q8" i="1" s="1"/>
  <c r="D6" i="1" l="1"/>
  <c r="N6" i="1" l="1"/>
  <c r="O6" i="1" s="1"/>
  <c r="P6" i="1" s="1"/>
  <c r="Q6" i="1" s="1"/>
  <c r="K6" i="1"/>
  <c r="J6" i="1"/>
  <c r="L6" i="1" l="1"/>
  <c r="K4" i="1"/>
  <c r="K5" i="1"/>
  <c r="N5" i="1" l="1"/>
  <c r="O5" i="1" s="1"/>
  <c r="P5" i="1" s="1"/>
  <c r="Q5" i="1" s="1"/>
  <c r="Q9" i="1" s="1"/>
  <c r="L4" i="1"/>
  <c r="J5" i="1"/>
  <c r="L5" i="1" s="1"/>
  <c r="D5" i="1"/>
</calcChain>
</file>

<file path=xl/sharedStrings.xml><?xml version="1.0" encoding="utf-8"?>
<sst xmlns="http://schemas.openxmlformats.org/spreadsheetml/2006/main" count="36" uniqueCount="29">
  <si>
    <t>Ед. изм.</t>
  </si>
  <si>
    <t>№ п/п</t>
  </si>
  <si>
    <t>Наименование</t>
  </si>
  <si>
    <t>Ед.изм. в ЕСКЛП</t>
  </si>
  <si>
    <t>Кол-во в ЕСКЛП</t>
  </si>
  <si>
    <t>ГРЛС</t>
  </si>
  <si>
    <t>Среднее значение цены, руб.</t>
  </si>
  <si>
    <t>Среднее квадратичное отклонение*****</t>
  </si>
  <si>
    <t xml:space="preserve">Коэффициент вариации цен****   </t>
  </si>
  <si>
    <t>ЦК с учетом округления цены за единицу (руб.)**</t>
  </si>
  <si>
    <t>Обоснование цены договора</t>
  </si>
  <si>
    <t>Кол-во упак</t>
  </si>
  <si>
    <t>Расчетная цена за упак. (руб./ед.изм.)</t>
  </si>
  <si>
    <t>Однородность совокупности значений выявленных цен, используемых в расчете цены договора</t>
  </si>
  <si>
    <t>Цнена договара, определенная методом сопоставимых рыночных цен (анализа рынка)*</t>
  </si>
  <si>
    <t>В результате проведенного расчета ЦК составила, руб.:</t>
  </si>
  <si>
    <t>упак</t>
  </si>
  <si>
    <t>мл</t>
  </si>
  <si>
    <t>Морфин р-р для ин. 10 мг/мл 1 мл № 10</t>
  </si>
  <si>
    <t>Кетамин р-р для в/в и в/м введения 50 мг/мл 2 мл № 5</t>
  </si>
  <si>
    <t>Промедол р-р для инъкций 20 мг/мл 1 мл № 10</t>
  </si>
  <si>
    <t>Сибазон р-р для инъекций 5 мг/мл 2 мл № 5</t>
  </si>
  <si>
    <t>шт</t>
  </si>
  <si>
    <t>Клоназепам таб.2 мг № 30</t>
  </si>
  <si>
    <t>КП-26-03-2313 от 12.03.26</t>
  </si>
  <si>
    <t>Коммерческое предложение (руб./ед.изм.) без НДС</t>
  </si>
  <si>
    <t>Расчетная цена за ед.изм. ЕСКЛП (руб./ед.изм.) без НДС</t>
  </si>
  <si>
    <t>Расчетная цена за ед.изм. ЕСКЛП (руб./ед.изм.) с НДС</t>
  </si>
  <si>
    <t>Информация о зарегистрированной цене производителя на момент определения НМЦК в соответствии с перечнем жизненно необходимых и важнейших лекарственных препаратов для медицинского применения, утвержденным распоряжением Правительства  Российской Федерации от 12 октября 2019 г. N 2406-р, постановлением Правительства Российской Федерации  от 29.10.2010 № 865 «О государственном регулировании цен на лекарственные препараты, включенные в перечень жизненно необходимых и важ-нейших лекарственных препаратов», представлена в Государственном реестре предельных отпускных цен производителей на лекарственные препараты, включенные в перечень жизненно необходимых и важнейших лекарственных препаратов,  по адресу  в сети Интернет http://grls.rosminzdrav.ru/. 
Заказчиком не учитываются значения цены лекарственного препарата, отсутствующего в гражданском обороте в Российской Федерации. 
Предельные размеры оптовых надбавок на ЖНВЛП, содержащие наркотические средства, внесенные в список II и список III  Перечня наркотических средств, психотропных веществ и их прекурсоров, подлежащих контролю в Российской Федерации, утвержденного постановлением Правительства Российской Федерации от 30.06.1998 N 681,  установлены распоряжением Комитета по тарифам Санкт-Петербурга от 29.09.2021 N 52-р «Об установлении предельных размеров оптовых надбавок и предельных размеров розничных надбавок к фактическим отпускным ценам, установленным производителями лекарственных препаратов, на лекарственные препараты, включенные в 
перечень жизненно необходимых и важнейших лекарственных препаратов, на территории Санкт-Петербурга»:
-до 100 руб. включительно – 50%;
-свыше 100 руб. до 500 руб. включительно – 49%;
-свыше 500 руб. – 39%.
В соответствии  с Федеральным законом от 08.01.1998 №3-ФЗ «О наркотических средствах и психотропных веществах», постановлением Правительства РФ от 30.10.2021 № 1871 «Об утверждении правил  распределения, реализации и отпуска наркотических средств и психотропных веществ, а также реализации и отпуска их прекурсоров и признании утратившими силу некоторых актов и отдельных положений некоторых актов Правительства Российской Федерации» на каждый календарный год утверждается план распределения наркотических средств и психотропных веществ на федеральном и региональном уровне.
В соответствии с письмом Комитета по здравоохранению Правительства Санкт-Петербурга распределение, отпуск и реализацию наркотических средств на территории Санкт-Петербурга закупаемых товаров осуществляет уполномоченная организация -  СПб ГБУЗ «Северо-Западный центр по контролю качества лекарственных средств». На основании указанного, НМЦК сформирована тарифным методом, на основании даных коммерческого предложения Санкт-Петербургского государственного бюджетного учреждения «Центр лекарственного обеспечения», данных Государственного реестра предельных отпускных цен и количества необходимого товара.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</si>
</sst>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р_._-;\-* #,##0.00_р_._-;_-* \-??_р_._-;_-@_-"/>
    <numFmt numFmtId="165" formatCode="#,##0.00;[Red]#,##0.00"/>
    <numFmt numFmtId="166" formatCode="#,##0.00000\ _₽"/>
    <numFmt numFmtId="167" formatCode="#,##0.00000"/>
    <numFmt numFmtId="168" formatCode="#,##0.000"/>
  </numFmts>
  <fonts count="10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b/>
      <sz val="10"/>
      <color indexed="8"/>
      <name val="Times New Roman"/>
      <family val="1"/>
      <charset val="204"/>
    </font>
    <font>
      <sz val="11"/>
      <color indexed="8"/>
      <name val="Calibri"/>
      <family val="2"/>
      <charset val="1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4" fillId="0" borderId="0"/>
  </cellStyleXfs>
  <cellXfs count="35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166" fontId="3" fillId="0" borderId="5" xfId="0" applyNumberFormat="1" applyFont="1" applyFill="1" applyBorder="1" applyAlignment="1">
      <alignment horizontal="center" vertical="center" wrapText="1"/>
    </xf>
    <xf numFmtId="166" fontId="3" fillId="0" borderId="5" xfId="1" applyNumberFormat="1" applyFont="1" applyFill="1" applyBorder="1" applyAlignment="1">
      <alignment horizontal="center" vertical="center" wrapText="1"/>
    </xf>
    <xf numFmtId="167" fontId="3" fillId="0" borderId="5" xfId="0" applyNumberFormat="1" applyFont="1" applyFill="1" applyBorder="1" applyAlignment="1">
      <alignment horizontal="center" vertical="center" wrapText="1"/>
    </xf>
    <xf numFmtId="167" fontId="3" fillId="0" borderId="5" xfId="1" applyNumberFormat="1" applyFont="1" applyFill="1" applyBorder="1" applyAlignment="1">
      <alignment horizontal="center"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64" fontId="2" fillId="0" borderId="6" xfId="1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>
      <alignment horizontal="center" vertical="center"/>
    </xf>
    <xf numFmtId="168" fontId="3" fillId="0" borderId="5" xfId="1" applyNumberFormat="1" applyFont="1" applyFill="1" applyBorder="1" applyAlignment="1">
      <alignment horizontal="center" vertical="center" wrapText="1"/>
    </xf>
    <xf numFmtId="0" fontId="3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</cellXfs>
  <cellStyles count="3">
    <cellStyle name="Excel Built-in Normal" xfId="1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" name="Text Box 3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" name="Text Box 310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" name="Text Box 30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" name="Text Box 30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" name="Text Box 30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" name="Text Box 30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" name="Text Box 30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" name="Text Box 30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" name="Text Box 30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" name="Text Box 30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" name="Text Box 30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" name="Text Box 300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" name="Text Box 299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" name="Text Box 29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6" name="Text Box 297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7" name="Text Box 29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8" name="Text Box 29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9" name="Text Box 29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0" name="Text Box 293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1" name="Text Box 29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2" name="Text Box 29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3" name="Text Box 290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4" name="Text Box 289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5" name="Text Box 28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6" name="Text Box 287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7" name="Text Box 28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8" name="Text Box 28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29" name="Text Box 28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0" name="Text Box 28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1" name="Text Box 28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2" name="Text Box 28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3" name="Text Box 280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4" name="Text Box 279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5" name="Text Box 278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6" name="Text Box 277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7" name="Text Box 27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8" name="Text Box 27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39" name="Text Box 27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0" name="Text Box 27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1" name="Text Box 27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2" name="Text Box 27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3" name="Text Box 270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4" name="Text Box 269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5" name="Text Box 26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6" name="Text Box 267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7" name="Text Box 26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8" name="Text Box 26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49" name="Text Box 264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0" name="Text Box 26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1" name="Text Box 26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2" name="Text Box 26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3" name="Text Box 260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4" name="Text Box 259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5" name="Text Box 25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6" name="Text Box 257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7" name="Text Box 2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8" name="Text Box 25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59" name="Text Box 254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0" name="Text Box 25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1" name="Text Box 25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2" name="Text Box 25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3" name="Text Box 250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4" name="Text Box 24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5" name="Text Box 24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6" name="Text Box 247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7" name="Text Box 24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8" name="Text Box 24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69" name="Text Box 244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0" name="Text Box 243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1" name="Text Box 24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2" name="Text Box 24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3" name="Text Box 240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4" name="Text Box 239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5" name="Text Box 23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6" name="Text Box 237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7" name="Text Box 23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8" name="Text Box 23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79" name="Text 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0" name="Text 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1" name="Text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2" name="Text 4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3" name="Text 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4" name="Text 6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5" name="Text 7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6" name="Text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7" name="Text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89" name="Text 1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0" name="Text 1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1" name="Text 1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2" name="Text 14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3" name="Text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4" name="Text 16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5" name="Text 17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6" name="Text 18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7" name="Text 19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8" name="Text 20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99" name="Text 2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0" name="Text 2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1" name="Text 2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2" name="Text 24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3" name="Text 2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4" name="Text 26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5" name="Text 27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6" name="Text 2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7" name="Text 2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8" name="Text 30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09" name="Text 3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0" name="Text 3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1" name="Text 3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2" name="Text 34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3" name="Text 3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4" name="Text 36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5" name="Text 37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6" name="Text 3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7" name="Text 40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8" name="Text 4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19" name="Text 4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0" name="Text 4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1" name="Text 44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2" name="Text 4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3" name="Text 46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4" name="Text 47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5" name="Text 4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6" name="Text 4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7" name="Text 50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8" name="Text 5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29" name="Text 5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0" name="Text 5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1" name="Text 54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2" name="Text 5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3" name="Text 56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4" name="Text 57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5" name="Text 5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6" name="Text 5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7" name="Text 60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8" name="Text 6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39" name="Text 6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0" name="Text 6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1" name="Text 64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2" name="Text 6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3" name="Text 66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4" name="Text 67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5" name="Text 68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6" name="Text 69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7" name="Text 70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8" name="Text 7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49" name="Text 7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0" name="Text 7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1" name="Text 74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2" name="Text 7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3" name="Text 76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4" name="Text 77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5" name="Text 78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6" name="Text Box 3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0</xdr:colOff>
      <xdr:row>9</xdr:row>
      <xdr:rowOff>0</xdr:rowOff>
    </xdr:from>
    <xdr:ext cx="72774" cy="188190"/>
    <xdr:sp macro="" textlink="">
      <xdr:nvSpPr>
        <xdr:cNvPr id="157" name="Text 39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3448050"/>
          <a:ext cx="72774" cy="188190"/>
        </a:xfrm>
        <a:prstGeom prst="rect">
          <a:avLst/>
        </a:prstGeom>
        <a:noFill/>
        <a:ln>
          <a:noFill/>
        </a:ln>
        <a:extLst/>
      </xdr:spPr>
      <xdr:txBody>
        <a:bodyPr wrap="none" lIns="20160" tIns="20160" rIns="20160" bIns="20160" anchor="t">
          <a:spAutoFit/>
        </a:bodyPr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"/>
  <sheetViews>
    <sheetView tabSelected="1" workbookViewId="0">
      <selection activeCell="Q9" sqref="Q9"/>
    </sheetView>
  </sheetViews>
  <sheetFormatPr defaultRowHeight="37.5" customHeight="1" x14ac:dyDescent="0.2"/>
  <cols>
    <col min="1" max="1" width="5.85546875" style="27" customWidth="1"/>
    <col min="2" max="2" width="31.140625" style="27" customWidth="1"/>
    <col min="3" max="3" width="11" style="27" customWidth="1"/>
    <col min="4" max="4" width="7.7109375" style="27" customWidth="1"/>
    <col min="5" max="6" width="11.140625" style="27" customWidth="1"/>
    <col min="7" max="7" width="14" style="27" customWidth="1"/>
    <col min="8" max="8" width="14.7109375" style="27" hidden="1" customWidth="1"/>
    <col min="9" max="9" width="14.5703125" style="27" hidden="1" customWidth="1"/>
    <col min="10" max="12" width="13.42578125" style="27" customWidth="1"/>
    <col min="13" max="13" width="9.85546875" style="27" customWidth="1"/>
    <col min="14" max="15" width="19.85546875" style="27" customWidth="1"/>
    <col min="16" max="16" width="12" style="27" customWidth="1"/>
    <col min="17" max="17" width="17" style="27" customWidth="1"/>
    <col min="18" max="16384" width="9.140625" style="27"/>
  </cols>
  <sheetData>
    <row r="1" spans="1:21" s="13" customFormat="1" ht="37.5" customHeight="1" x14ac:dyDescent="0.2">
      <c r="A1" s="14" t="s">
        <v>10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21" s="13" customFormat="1" ht="37.5" customHeight="1" x14ac:dyDescent="0.2">
      <c r="A2" s="14" t="s">
        <v>1</v>
      </c>
      <c r="B2" s="14" t="s">
        <v>2</v>
      </c>
      <c r="C2" s="15" t="s">
        <v>3</v>
      </c>
      <c r="D2" s="15" t="s">
        <v>4</v>
      </c>
      <c r="E2" s="28" t="s">
        <v>0</v>
      </c>
      <c r="F2" s="28" t="s">
        <v>11</v>
      </c>
      <c r="G2" s="16" t="s">
        <v>25</v>
      </c>
      <c r="H2" s="29"/>
      <c r="I2" s="29"/>
      <c r="J2" s="7" t="s">
        <v>13</v>
      </c>
      <c r="K2" s="8"/>
      <c r="L2" s="9"/>
      <c r="M2" s="17" t="s">
        <v>5</v>
      </c>
      <c r="N2" s="10" t="s">
        <v>14</v>
      </c>
      <c r="O2" s="11"/>
      <c r="P2" s="11"/>
      <c r="Q2" s="12"/>
    </row>
    <row r="3" spans="1:21" s="13" customFormat="1" ht="37.5" customHeight="1" x14ac:dyDescent="0.2">
      <c r="A3" s="14"/>
      <c r="B3" s="14"/>
      <c r="C3" s="15"/>
      <c r="D3" s="15"/>
      <c r="E3" s="28"/>
      <c r="F3" s="28"/>
      <c r="G3" s="18" t="s">
        <v>24</v>
      </c>
      <c r="H3" s="18"/>
      <c r="I3" s="18"/>
      <c r="J3" s="19" t="s">
        <v>6</v>
      </c>
      <c r="K3" s="1" t="s">
        <v>7</v>
      </c>
      <c r="L3" s="2" t="s">
        <v>8</v>
      </c>
      <c r="M3" s="20"/>
      <c r="N3" s="1" t="s">
        <v>26</v>
      </c>
      <c r="O3" s="1" t="s">
        <v>27</v>
      </c>
      <c r="P3" s="1" t="s">
        <v>12</v>
      </c>
      <c r="Q3" s="2" t="s">
        <v>9</v>
      </c>
    </row>
    <row r="4" spans="1:21" s="13" customFormat="1" ht="37.5" customHeight="1" x14ac:dyDescent="0.2">
      <c r="A4" s="21">
        <v>1</v>
      </c>
      <c r="B4" s="22" t="s">
        <v>18</v>
      </c>
      <c r="C4" s="23" t="s">
        <v>17</v>
      </c>
      <c r="D4" s="24">
        <f>F4*10</f>
        <v>370</v>
      </c>
      <c r="E4" s="24" t="s">
        <v>16</v>
      </c>
      <c r="F4" s="22">
        <v>37</v>
      </c>
      <c r="G4" s="5">
        <f>383.36/10/1.1/1.49</f>
        <v>23.389869999999998</v>
      </c>
      <c r="H4" s="3"/>
      <c r="I4" s="3"/>
      <c r="J4" s="25">
        <f>AVERAGE(G4:I4)</f>
        <v>23.389869999999998</v>
      </c>
      <c r="K4" s="4" t="e">
        <f t="shared" ref="K4:K6" si="0">STDEV(G4:I4)</f>
        <v>#DIV/0!</v>
      </c>
      <c r="L4" s="4" t="e">
        <f t="shared" ref="L4:L6" si="1">K4/J4*100</f>
        <v>#DIV/0!</v>
      </c>
      <c r="M4" s="6">
        <f>233.9/10</f>
        <v>23.39</v>
      </c>
      <c r="N4" s="6">
        <f>MIN(G4:I4,M4)</f>
        <v>23.389869999999998</v>
      </c>
      <c r="O4" s="6">
        <f>N4*1.1*1.49</f>
        <v>38.335999999999999</v>
      </c>
      <c r="P4" s="4">
        <f>O4*10</f>
        <v>383.36</v>
      </c>
      <c r="Q4" s="4">
        <f>P4*F4</f>
        <v>14184.32</v>
      </c>
    </row>
    <row r="5" spans="1:21" s="13" customFormat="1" ht="37.5" customHeight="1" x14ac:dyDescent="0.2">
      <c r="A5" s="21">
        <v>2</v>
      </c>
      <c r="B5" s="22" t="s">
        <v>19</v>
      </c>
      <c r="C5" s="23" t="s">
        <v>17</v>
      </c>
      <c r="D5" s="24">
        <f>F5*2*5</f>
        <v>340</v>
      </c>
      <c r="E5" s="24" t="s">
        <v>16</v>
      </c>
      <c r="F5" s="22">
        <v>34</v>
      </c>
      <c r="G5" s="5">
        <f>285.18/2/5/1.1/1.49</f>
        <v>17.399629999999998</v>
      </c>
      <c r="H5" s="3"/>
      <c r="I5" s="3"/>
      <c r="J5" s="25">
        <f t="shared" ref="J5:J6" si="2">AVERAGE(G5:I5)</f>
        <v>17.399629999999998</v>
      </c>
      <c r="K5" s="4" t="e">
        <f t="shared" si="0"/>
        <v>#DIV/0!</v>
      </c>
      <c r="L5" s="4" t="e">
        <f t="shared" si="1"/>
        <v>#DIV/0!</v>
      </c>
      <c r="M5" s="6">
        <f>174/2/5</f>
        <v>17.399999999999999</v>
      </c>
      <c r="N5" s="6">
        <f>MIN(G5:I5,M5)</f>
        <v>17.399629999999998</v>
      </c>
      <c r="O5" s="6">
        <f>N5*1.1*1.49</f>
        <v>28.517990000000001</v>
      </c>
      <c r="P5" s="4">
        <f>O5*2*5</f>
        <v>285.17989999999998</v>
      </c>
      <c r="Q5" s="4">
        <f>P5*F5</f>
        <v>9696.1165999999994</v>
      </c>
    </row>
    <row r="6" spans="1:21" s="13" customFormat="1" ht="37.5" customHeight="1" x14ac:dyDescent="0.2">
      <c r="A6" s="21">
        <v>3</v>
      </c>
      <c r="B6" s="22" t="s">
        <v>23</v>
      </c>
      <c r="C6" s="23" t="s">
        <v>22</v>
      </c>
      <c r="D6" s="24">
        <f>F6*30</f>
        <v>120</v>
      </c>
      <c r="E6" s="24" t="s">
        <v>16</v>
      </c>
      <c r="F6" s="22">
        <v>4</v>
      </c>
      <c r="G6" s="5">
        <f>149.49/30/1.1/1.5</f>
        <v>3.02</v>
      </c>
      <c r="H6" s="5"/>
      <c r="I6" s="3"/>
      <c r="J6" s="25">
        <f t="shared" si="2"/>
        <v>3.02</v>
      </c>
      <c r="K6" s="4" t="e">
        <f t="shared" si="0"/>
        <v>#DIV/0!</v>
      </c>
      <c r="L6" s="4" t="e">
        <f t="shared" si="1"/>
        <v>#DIV/0!</v>
      </c>
      <c r="M6" s="6">
        <f>90.6/30</f>
        <v>3.02</v>
      </c>
      <c r="N6" s="6">
        <f>MIN(G6:I6,M6)</f>
        <v>3.02</v>
      </c>
      <c r="O6" s="6">
        <f>N6*1.1*1.5</f>
        <v>4.9829999999999997</v>
      </c>
      <c r="P6" s="26">
        <f>O6*30</f>
        <v>149.49</v>
      </c>
      <c r="Q6" s="4">
        <f>P6*F6</f>
        <v>597.96</v>
      </c>
    </row>
    <row r="7" spans="1:21" s="13" customFormat="1" ht="37.5" customHeight="1" x14ac:dyDescent="0.2">
      <c r="A7" s="21">
        <v>4</v>
      </c>
      <c r="B7" s="22" t="s">
        <v>21</v>
      </c>
      <c r="C7" s="23" t="s">
        <v>17</v>
      </c>
      <c r="D7" s="24">
        <f>F7*2*5</f>
        <v>1100</v>
      </c>
      <c r="E7" s="24" t="s">
        <v>16</v>
      </c>
      <c r="F7" s="22">
        <v>110</v>
      </c>
      <c r="G7" s="5">
        <f>92.89/2/5/1.1/1.5</f>
        <v>5.6296999999999997</v>
      </c>
      <c r="H7" s="3"/>
      <c r="I7" s="3"/>
      <c r="J7" s="25">
        <f t="shared" ref="J7" si="3">AVERAGE(G7:I7)</f>
        <v>5.6296999999999997</v>
      </c>
      <c r="K7" s="4" t="e">
        <f t="shared" ref="K7" si="4">STDEV(G7:I7)</f>
        <v>#DIV/0!</v>
      </c>
      <c r="L7" s="4" t="e">
        <f t="shared" ref="L7" si="5">K7/J7*100</f>
        <v>#DIV/0!</v>
      </c>
      <c r="M7" s="6">
        <f>56.3/2/5</f>
        <v>5.63</v>
      </c>
      <c r="N7" s="6">
        <f>MIN(G7:I7,M7)</f>
        <v>5.6296999999999997</v>
      </c>
      <c r="O7" s="6">
        <f>N7*1.1*1.5</f>
        <v>9.2890099999999993</v>
      </c>
      <c r="P7" s="4">
        <f>O7*2*5</f>
        <v>92.890100000000004</v>
      </c>
      <c r="Q7" s="4">
        <f>P7*F7</f>
        <v>10217.911</v>
      </c>
    </row>
    <row r="8" spans="1:21" s="13" customFormat="1" ht="37.5" customHeight="1" x14ac:dyDescent="0.2">
      <c r="A8" s="21">
        <v>5</v>
      </c>
      <c r="B8" s="22" t="s">
        <v>20</v>
      </c>
      <c r="C8" s="23" t="s">
        <v>17</v>
      </c>
      <c r="D8" s="24">
        <f>F8*10</f>
        <v>50</v>
      </c>
      <c r="E8" s="24" t="s">
        <v>16</v>
      </c>
      <c r="F8" s="22">
        <v>5</v>
      </c>
      <c r="G8" s="5">
        <f>724.76/10/1.1/1.49</f>
        <v>44.219650000000001</v>
      </c>
      <c r="H8" s="3"/>
      <c r="I8" s="3"/>
      <c r="J8" s="25">
        <f>AVERAGE(G8:I8)</f>
        <v>44.219650000000001</v>
      </c>
      <c r="K8" s="4" t="e">
        <f>STDEV(G8:I8)</f>
        <v>#DIV/0!</v>
      </c>
      <c r="L8" s="4" t="e">
        <f>K8/J8*100</f>
        <v>#DIV/0!</v>
      </c>
      <c r="M8" s="6">
        <f>442.2/10</f>
        <v>44.22</v>
      </c>
      <c r="N8" s="6">
        <f>MIN(G8:I8,M8)</f>
        <v>44.219650000000001</v>
      </c>
      <c r="O8" s="6">
        <f>N8*1.1*1.49</f>
        <v>72.476010000000002</v>
      </c>
      <c r="P8" s="4">
        <f>O8*10</f>
        <v>724.76009999999997</v>
      </c>
      <c r="Q8" s="4">
        <f>P8*F8</f>
        <v>3623.8004999999998</v>
      </c>
    </row>
    <row r="9" spans="1:21" ht="37.5" customHeight="1" x14ac:dyDescent="0.2">
      <c r="A9" s="31" t="s">
        <v>15</v>
      </c>
      <c r="B9" s="31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0">
        <f>SUM(Q4:Q8)</f>
        <v>38320.11</v>
      </c>
      <c r="R9" s="32"/>
      <c r="S9" s="32"/>
      <c r="T9" s="32"/>
      <c r="U9" s="32"/>
    </row>
    <row r="10" spans="1:21" ht="207" customHeight="1" x14ac:dyDescent="0.2">
      <c r="A10" s="34" t="s">
        <v>28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3"/>
      <c r="S10" s="33"/>
      <c r="T10" s="32"/>
      <c r="U10" s="32"/>
    </row>
  </sheetData>
  <sheetProtection algorithmName="SHA-512" hashValue="XtyjagBQb8PnL6uTJsu4Ust7KzibuvUw4tGi6U6jFhIekzcfu5x1LUuZnpCwTEUZG3JdmkkRXaazBXuWWPpcrA==" saltValue="2EpWmYbVH0+/h8I8qPVcUA==" spinCount="100000" sheet="1" objects="1" scenarios="1"/>
  <mergeCells count="13">
    <mergeCell ref="A1:Q1"/>
    <mergeCell ref="E2:E3"/>
    <mergeCell ref="F2:F3"/>
    <mergeCell ref="A2:A3"/>
    <mergeCell ref="B2:B3"/>
    <mergeCell ref="C2:C3"/>
    <mergeCell ref="D2:D3"/>
    <mergeCell ref="J2:L2"/>
    <mergeCell ref="M2:M3"/>
    <mergeCell ref="N2:Q2"/>
    <mergeCell ref="G2:I2"/>
    <mergeCell ref="A9:P9"/>
    <mergeCell ref="A10:Q10"/>
  </mergeCells>
  <phoneticPr fontId="1" type="noConversion"/>
  <pageMargins left="0.23622047244094491" right="0.31496062992125984" top="0.51181102362204722" bottom="0.35433070866141736" header="0.51181102362204722" footer="0.35433070866141736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Организация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yankovets_ni</dc:creator>
  <cp:lastModifiedBy>Лимонтова Валентина Александровна</cp:lastModifiedBy>
  <cp:lastPrinted>2020-02-12T14:02:45Z</cp:lastPrinted>
  <dcterms:created xsi:type="dcterms:W3CDTF">2014-01-29T10:37:40Z</dcterms:created>
  <dcterms:modified xsi:type="dcterms:W3CDTF">2026-06-24T09:47:58Z</dcterms:modified>
</cp:coreProperties>
</file>