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3155"/>
  </bookViews>
  <sheets>
    <sheet name="Смета по ТСН-2001(с доп.67" sheetId="7" r:id="rId1"/>
    <sheet name="Дефектная ведомость" sheetId="8" r:id="rId2"/>
    <sheet name="RV_DATA" sheetId="10" state="hidden" r:id="rId3"/>
    <sheet name="Расчет стоимости ресурсов" sheetId="9" r:id="rId4"/>
    <sheet name="Source" sheetId="1" r:id="rId5"/>
    <sheet name="SourceObSm" sheetId="2" r:id="rId6"/>
    <sheet name="SmtRes" sheetId="3" r:id="rId7"/>
    <sheet name="EtalonRes" sheetId="4" r:id="rId8"/>
    <sheet name="SrcPoprs" sheetId="5" r:id="rId9"/>
    <sheet name="SrcKA" sheetId="6" r:id="rId10"/>
  </sheets>
  <definedNames>
    <definedName name="_xlnm.Print_Titles" localSheetId="1">'Дефектная ведомость'!$18:$18</definedName>
    <definedName name="_xlnm.Print_Titles" localSheetId="3">'Расчет стоимости ресурсов'!$4:$7</definedName>
    <definedName name="_xlnm.Print_Titles" localSheetId="0">'Смета по ТСН-2001(с доп.67'!$34:$34</definedName>
    <definedName name="_xlnm.Print_Area" localSheetId="1">'Дефектная ведомость'!$A$1:$E$117</definedName>
    <definedName name="_xlnm.Print_Area" localSheetId="3">'Расчет стоимости ресурсов'!$A$1:$F$43</definedName>
    <definedName name="_xlnm.Print_Area" localSheetId="0">'Смета по ТСН-2001(с доп.67'!$A$1:$K$585</definedName>
  </definedName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7"/>
  <c r="E33" i="9" l="1"/>
  <c r="D33"/>
  <c r="E38"/>
  <c r="E39"/>
  <c r="D39"/>
  <c r="E36"/>
  <c r="E34"/>
  <c r="D34"/>
  <c r="A30"/>
  <c r="D28"/>
  <c r="D27"/>
  <c r="D24"/>
  <c r="D23"/>
  <c r="A19"/>
  <c r="E17"/>
  <c r="E16"/>
  <c r="D16"/>
  <c r="A9"/>
  <c r="Z32" i="10"/>
  <c r="S32"/>
  <c r="T32" s="1"/>
  <c r="P32"/>
  <c r="R32" s="1"/>
  <c r="N32"/>
  <c r="O32" s="1"/>
  <c r="K32"/>
  <c r="M32" s="1"/>
  <c r="F33" i="9" s="1"/>
  <c r="I32" i="10"/>
  <c r="H32"/>
  <c r="G32"/>
  <c r="F32"/>
  <c r="E32"/>
  <c r="D32"/>
  <c r="A32"/>
  <c r="Z31"/>
  <c r="S31"/>
  <c r="T31" s="1"/>
  <c r="P31"/>
  <c r="R31" s="1"/>
  <c r="N31"/>
  <c r="O31" s="1"/>
  <c r="K31"/>
  <c r="M31" s="1"/>
  <c r="F41" i="9" s="1"/>
  <c r="I31" i="10"/>
  <c r="D41" i="9" s="1"/>
  <c r="H31" i="10"/>
  <c r="G31"/>
  <c r="F31"/>
  <c r="E31"/>
  <c r="D31"/>
  <c r="A31"/>
  <c r="Z30"/>
  <c r="S30"/>
  <c r="T30" s="1"/>
  <c r="P30"/>
  <c r="R30" s="1"/>
  <c r="N30"/>
  <c r="O30" s="1"/>
  <c r="K30"/>
  <c r="E37" i="9" s="1"/>
  <c r="I30" i="10"/>
  <c r="D37" i="9" s="1"/>
  <c r="H30" i="10"/>
  <c r="G30"/>
  <c r="F30"/>
  <c r="E30"/>
  <c r="D30"/>
  <c r="A30"/>
  <c r="Z29"/>
  <c r="S29"/>
  <c r="T29" s="1"/>
  <c r="P29"/>
  <c r="R29" s="1"/>
  <c r="N29"/>
  <c r="O29" s="1"/>
  <c r="K29"/>
  <c r="M29" s="1"/>
  <c r="F38" i="9" s="1"/>
  <c r="I29" i="10"/>
  <c r="D38" i="9" s="1"/>
  <c r="H29" i="10"/>
  <c r="G29"/>
  <c r="F29"/>
  <c r="E29"/>
  <c r="D29"/>
  <c r="A29"/>
  <c r="Z28"/>
  <c r="S28"/>
  <c r="T28" s="1"/>
  <c r="P28"/>
  <c r="R28" s="1"/>
  <c r="N28"/>
  <c r="O28" s="1"/>
  <c r="K28"/>
  <c r="M28" s="1"/>
  <c r="F39" i="9" s="1"/>
  <c r="I28" i="10"/>
  <c r="H28"/>
  <c r="G28"/>
  <c r="F28"/>
  <c r="E28"/>
  <c r="D28"/>
  <c r="A28"/>
  <c r="Z27"/>
  <c r="S27"/>
  <c r="T27" s="1"/>
  <c r="P27"/>
  <c r="R27" s="1"/>
  <c r="N27"/>
  <c r="O27" s="1"/>
  <c r="K27"/>
  <c r="M27" s="1"/>
  <c r="F40" i="9" s="1"/>
  <c r="I27" i="10"/>
  <c r="D40" i="9" s="1"/>
  <c r="H27" i="10"/>
  <c r="G27"/>
  <c r="F27"/>
  <c r="E27"/>
  <c r="D27"/>
  <c r="A27"/>
  <c r="Z26"/>
  <c r="S26"/>
  <c r="T26" s="1"/>
  <c r="P26"/>
  <c r="R26" s="1"/>
  <c r="N26"/>
  <c r="O26" s="1"/>
  <c r="K26"/>
  <c r="E35" i="9" s="1"/>
  <c r="I26" i="10"/>
  <c r="D35" i="9" s="1"/>
  <c r="H26" i="10"/>
  <c r="G26"/>
  <c r="F26"/>
  <c r="E26"/>
  <c r="D26"/>
  <c r="A26"/>
  <c r="Z25"/>
  <c r="S25"/>
  <c r="T25" s="1"/>
  <c r="P25"/>
  <c r="R25" s="1"/>
  <c r="N25"/>
  <c r="O25" s="1"/>
  <c r="K25"/>
  <c r="M25" s="1"/>
  <c r="F36" i="9" s="1"/>
  <c r="I25" i="10"/>
  <c r="D36" i="9" s="1"/>
  <c r="H25" i="10"/>
  <c r="G25"/>
  <c r="F25"/>
  <c r="E25"/>
  <c r="D25"/>
  <c r="A25"/>
  <c r="Z24"/>
  <c r="S24"/>
  <c r="T24" s="1"/>
  <c r="P24"/>
  <c r="R24" s="1"/>
  <c r="N24"/>
  <c r="O24" s="1"/>
  <c r="K24"/>
  <c r="M24" s="1"/>
  <c r="F34" i="9" s="1"/>
  <c r="I24" i="10"/>
  <c r="H24"/>
  <c r="G24"/>
  <c r="F24"/>
  <c r="E24"/>
  <c r="D24"/>
  <c r="A24"/>
  <c r="Z23"/>
  <c r="S23"/>
  <c r="T23" s="1"/>
  <c r="P23"/>
  <c r="R23" s="1"/>
  <c r="N23"/>
  <c r="O23" s="1"/>
  <c r="K23"/>
  <c r="M23" s="1"/>
  <c r="F32" i="9" s="1"/>
  <c r="I23" i="10"/>
  <c r="D32" i="9" s="1"/>
  <c r="H23" i="10"/>
  <c r="G23"/>
  <c r="F23"/>
  <c r="E23"/>
  <c r="D23"/>
  <c r="A23"/>
  <c r="G22"/>
  <c r="A22"/>
  <c r="Z21"/>
  <c r="S21"/>
  <c r="T21" s="1"/>
  <c r="P21"/>
  <c r="R21" s="1"/>
  <c r="N21"/>
  <c r="O21" s="1"/>
  <c r="K21"/>
  <c r="I21"/>
  <c r="H21"/>
  <c r="G21"/>
  <c r="F21"/>
  <c r="E21"/>
  <c r="D21"/>
  <c r="A21"/>
  <c r="Z20"/>
  <c r="S20"/>
  <c r="T20" s="1"/>
  <c r="R20"/>
  <c r="P20"/>
  <c r="N20"/>
  <c r="O20" s="1"/>
  <c r="K20"/>
  <c r="E24" i="9" s="1"/>
  <c r="I20" i="10"/>
  <c r="H20"/>
  <c r="G20"/>
  <c r="F20"/>
  <c r="E20"/>
  <c r="D20"/>
  <c r="A20"/>
  <c r="Z19"/>
  <c r="S19"/>
  <c r="T19" s="1"/>
  <c r="P19"/>
  <c r="R19" s="1"/>
  <c r="N19"/>
  <c r="O19" s="1"/>
  <c r="K19"/>
  <c r="E21" i="9" s="1"/>
  <c r="I19" i="10"/>
  <c r="D21" i="9" s="1"/>
  <c r="H19" i="10"/>
  <c r="G19"/>
  <c r="F19"/>
  <c r="E19"/>
  <c r="D19"/>
  <c r="A19"/>
  <c r="Z18"/>
  <c r="S18"/>
  <c r="T18" s="1"/>
  <c r="R18"/>
  <c r="P18"/>
  <c r="N18"/>
  <c r="O18" s="1"/>
  <c r="K18"/>
  <c r="E27" i="9" s="1"/>
  <c r="I18" i="10"/>
  <c r="H18"/>
  <c r="G18"/>
  <c r="F18"/>
  <c r="E18"/>
  <c r="D18"/>
  <c r="A18"/>
  <c r="Z17"/>
  <c r="S17"/>
  <c r="T17" s="1"/>
  <c r="P17"/>
  <c r="R17" s="1"/>
  <c r="N17"/>
  <c r="O17" s="1"/>
  <c r="K17"/>
  <c r="E22" i="9" s="1"/>
  <c r="I17" i="10"/>
  <c r="D22" i="9" s="1"/>
  <c r="H17" i="10"/>
  <c r="G17"/>
  <c r="F17"/>
  <c r="E17"/>
  <c r="D17"/>
  <c r="A17"/>
  <c r="Z16"/>
  <c r="S16"/>
  <c r="T16" s="1"/>
  <c r="R16"/>
  <c r="P16"/>
  <c r="N16"/>
  <c r="O16" s="1"/>
  <c r="K16"/>
  <c r="E23" i="9" s="1"/>
  <c r="I16" i="10"/>
  <c r="H16"/>
  <c r="G16"/>
  <c r="F16"/>
  <c r="E16"/>
  <c r="D16"/>
  <c r="A16"/>
  <c r="G15"/>
  <c r="A15"/>
  <c r="Z14"/>
  <c r="S14"/>
  <c r="T14" s="1"/>
  <c r="P14"/>
  <c r="N14"/>
  <c r="O14" s="1"/>
  <c r="K14"/>
  <c r="M14" s="1"/>
  <c r="F17" i="9" s="1"/>
  <c r="I14" i="10"/>
  <c r="D17" i="9" s="1"/>
  <c r="H14" i="10"/>
  <c r="G14"/>
  <c r="F14"/>
  <c r="E14"/>
  <c r="D14"/>
  <c r="A14"/>
  <c r="Z13"/>
  <c r="S13"/>
  <c r="T13" s="1"/>
  <c r="P13"/>
  <c r="O13"/>
  <c r="N13"/>
  <c r="K13"/>
  <c r="I13"/>
  <c r="H13"/>
  <c r="G13"/>
  <c r="F13"/>
  <c r="E13"/>
  <c r="D13"/>
  <c r="A13"/>
  <c r="Z12"/>
  <c r="S12"/>
  <c r="T12" s="1"/>
  <c r="P12"/>
  <c r="N12"/>
  <c r="O12" s="1"/>
  <c r="K12"/>
  <c r="M12" s="1"/>
  <c r="F16" i="9" s="1"/>
  <c r="I12" i="10"/>
  <c r="H12"/>
  <c r="G12"/>
  <c r="F12"/>
  <c r="E12"/>
  <c r="D12"/>
  <c r="A12"/>
  <c r="Z11"/>
  <c r="S11"/>
  <c r="T11" s="1"/>
  <c r="P11"/>
  <c r="O11"/>
  <c r="N11"/>
  <c r="K11"/>
  <c r="I11"/>
  <c r="H11"/>
  <c r="G11"/>
  <c r="F11"/>
  <c r="E11"/>
  <c r="D11"/>
  <c r="A11"/>
  <c r="Z10"/>
  <c r="S10"/>
  <c r="T10" s="1"/>
  <c r="P10"/>
  <c r="N10"/>
  <c r="O10" s="1"/>
  <c r="K10"/>
  <c r="M10" s="1"/>
  <c r="F12" i="9" s="1"/>
  <c r="I10" i="10"/>
  <c r="D12" i="9" s="1"/>
  <c r="H10" i="10"/>
  <c r="G10"/>
  <c r="F10"/>
  <c r="E10"/>
  <c r="D10"/>
  <c r="A10"/>
  <c r="Z9"/>
  <c r="S9"/>
  <c r="T9" s="1"/>
  <c r="P9"/>
  <c r="O9"/>
  <c r="N9"/>
  <c r="K9"/>
  <c r="E11" i="9" s="1"/>
  <c r="I9" i="10"/>
  <c r="D11" i="9" s="1"/>
  <c r="H9" i="10"/>
  <c r="G9"/>
  <c r="F9"/>
  <c r="E9"/>
  <c r="D9"/>
  <c r="A9"/>
  <c r="Z8"/>
  <c r="S8"/>
  <c r="T8" s="1"/>
  <c r="P8"/>
  <c r="N8"/>
  <c r="O8" s="1"/>
  <c r="K8"/>
  <c r="M8" s="1"/>
  <c r="F15" i="9" s="1"/>
  <c r="E18" s="1"/>
  <c r="I8" i="10"/>
  <c r="D15" i="9" s="1"/>
  <c r="H8" i="10"/>
  <c r="G8"/>
  <c r="F8"/>
  <c r="E8"/>
  <c r="D8"/>
  <c r="A8"/>
  <c r="G7"/>
  <c r="A7"/>
  <c r="G6"/>
  <c r="A6"/>
  <c r="D112" i="8"/>
  <c r="C112"/>
  <c r="B112"/>
  <c r="D111"/>
  <c r="C111"/>
  <c r="B111"/>
  <c r="D110"/>
  <c r="C110"/>
  <c r="B110"/>
  <c r="D109"/>
  <c r="C109"/>
  <c r="B109"/>
  <c r="D108"/>
  <c r="C108"/>
  <c r="B108"/>
  <c r="D107"/>
  <c r="C107"/>
  <c r="B107"/>
  <c r="D106"/>
  <c r="C106"/>
  <c r="B106"/>
  <c r="D105"/>
  <c r="C105"/>
  <c r="B105"/>
  <c r="D104"/>
  <c r="C104"/>
  <c r="B104"/>
  <c r="D103"/>
  <c r="C103"/>
  <c r="B103"/>
  <c r="D102"/>
  <c r="C102"/>
  <c r="B102"/>
  <c r="D101"/>
  <c r="C101"/>
  <c r="B101"/>
  <c r="D100"/>
  <c r="C100"/>
  <c r="B100"/>
  <c r="D99"/>
  <c r="C99"/>
  <c r="B99"/>
  <c r="D98"/>
  <c r="C98"/>
  <c r="B98"/>
  <c r="D97"/>
  <c r="C97"/>
  <c r="B97"/>
  <c r="D96"/>
  <c r="C96"/>
  <c r="B96"/>
  <c r="D95"/>
  <c r="C95"/>
  <c r="B95"/>
  <c r="D94"/>
  <c r="C94"/>
  <c r="B94"/>
  <c r="D93"/>
  <c r="C93"/>
  <c r="B93"/>
  <c r="D92"/>
  <c r="C92"/>
  <c r="B92"/>
  <c r="D91"/>
  <c r="C91"/>
  <c r="B91"/>
  <c r="D90"/>
  <c r="C90"/>
  <c r="B90"/>
  <c r="D89"/>
  <c r="C89"/>
  <c r="B89"/>
  <c r="D88"/>
  <c r="C88"/>
  <c r="B88"/>
  <c r="D87"/>
  <c r="C87"/>
  <c r="B87"/>
  <c r="D86"/>
  <c r="C86"/>
  <c r="B86"/>
  <c r="D85"/>
  <c r="C85"/>
  <c r="B85"/>
  <c r="D84"/>
  <c r="C84"/>
  <c r="B84"/>
  <c r="D83"/>
  <c r="C83"/>
  <c r="B83"/>
  <c r="D82"/>
  <c r="C82"/>
  <c r="B82"/>
  <c r="D81"/>
  <c r="C81"/>
  <c r="B81"/>
  <c r="D80"/>
  <c r="C80"/>
  <c r="B80"/>
  <c r="D79"/>
  <c r="C79"/>
  <c r="B79"/>
  <c r="D78"/>
  <c r="C78"/>
  <c r="B78"/>
  <c r="D77"/>
  <c r="C77"/>
  <c r="B77"/>
  <c r="D76"/>
  <c r="C76"/>
  <c r="B76"/>
  <c r="D75"/>
  <c r="C75"/>
  <c r="B75"/>
  <c r="D74"/>
  <c r="C74"/>
  <c r="B74"/>
  <c r="A73"/>
  <c r="D72"/>
  <c r="C72"/>
  <c r="B72"/>
  <c r="D71"/>
  <c r="C71"/>
  <c r="B71"/>
  <c r="D70"/>
  <c r="C70"/>
  <c r="B70"/>
  <c r="D69"/>
  <c r="C69"/>
  <c r="B69"/>
  <c r="D68"/>
  <c r="C68"/>
  <c r="B68"/>
  <c r="D67"/>
  <c r="C67"/>
  <c r="B67"/>
  <c r="D66"/>
  <c r="C66"/>
  <c r="B66"/>
  <c r="D65"/>
  <c r="C65"/>
  <c r="B65"/>
  <c r="D64"/>
  <c r="C64"/>
  <c r="B64"/>
  <c r="D63"/>
  <c r="C63"/>
  <c r="B63"/>
  <c r="D62"/>
  <c r="C62"/>
  <c r="B62"/>
  <c r="D61"/>
  <c r="C61"/>
  <c r="B61"/>
  <c r="D60"/>
  <c r="C60"/>
  <c r="B60"/>
  <c r="D59"/>
  <c r="C59"/>
  <c r="B59"/>
  <c r="D58"/>
  <c r="C58"/>
  <c r="B58"/>
  <c r="D57"/>
  <c r="C57"/>
  <c r="B57"/>
  <c r="D56"/>
  <c r="C56"/>
  <c r="B56"/>
  <c r="D55"/>
  <c r="C55"/>
  <c r="B55"/>
  <c r="D54"/>
  <c r="C54"/>
  <c r="B54"/>
  <c r="D53"/>
  <c r="C53"/>
  <c r="B53"/>
  <c r="D52"/>
  <c r="C52"/>
  <c r="B52"/>
  <c r="D51"/>
  <c r="C51"/>
  <c r="B51"/>
  <c r="D50"/>
  <c r="C50"/>
  <c r="B50"/>
  <c r="A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A20"/>
  <c r="AD12"/>
  <c r="A11"/>
  <c r="A1"/>
  <c r="H583" i="7"/>
  <c r="H580"/>
  <c r="C583"/>
  <c r="C580"/>
  <c r="J29"/>
  <c r="J26"/>
  <c r="J25"/>
  <c r="J24"/>
  <c r="J23"/>
  <c r="J22"/>
  <c r="I29"/>
  <c r="H577"/>
  <c r="J577"/>
  <c r="H576"/>
  <c r="J576"/>
  <c r="J573"/>
  <c r="C573"/>
  <c r="J572"/>
  <c r="C572"/>
  <c r="H571"/>
  <c r="J571"/>
  <c r="H570"/>
  <c r="J570"/>
  <c r="A569"/>
  <c r="H567"/>
  <c r="J567"/>
  <c r="H566"/>
  <c r="J566"/>
  <c r="A565"/>
  <c r="Z562"/>
  <c r="Y562"/>
  <c r="X562"/>
  <c r="H561"/>
  <c r="J561"/>
  <c r="I559"/>
  <c r="AB559" s="1"/>
  <c r="H559"/>
  <c r="G559"/>
  <c r="E559"/>
  <c r="K558"/>
  <c r="J558"/>
  <c r="E558"/>
  <c r="K557"/>
  <c r="J557"/>
  <c r="E557"/>
  <c r="K556"/>
  <c r="J556"/>
  <c r="I556"/>
  <c r="H556"/>
  <c r="G556"/>
  <c r="F556"/>
  <c r="V555"/>
  <c r="T555"/>
  <c r="R555"/>
  <c r="U555"/>
  <c r="S555"/>
  <c r="I558" s="1"/>
  <c r="Q555"/>
  <c r="I557" s="1"/>
  <c r="E555"/>
  <c r="D555"/>
  <c r="B555"/>
  <c r="Z553"/>
  <c r="Y553"/>
  <c r="X553"/>
  <c r="H552"/>
  <c r="J552"/>
  <c r="I550"/>
  <c r="AB550" s="1"/>
  <c r="H550"/>
  <c r="G550"/>
  <c r="E550"/>
  <c r="K549"/>
  <c r="J549"/>
  <c r="E549"/>
  <c r="K548"/>
  <c r="J548"/>
  <c r="E548"/>
  <c r="K547"/>
  <c r="J547"/>
  <c r="I547"/>
  <c r="W547" s="1"/>
  <c r="H547"/>
  <c r="G547"/>
  <c r="F547"/>
  <c r="V546"/>
  <c r="T546"/>
  <c r="R546"/>
  <c r="U546"/>
  <c r="S546"/>
  <c r="I549" s="1"/>
  <c r="AA553" s="1"/>
  <c r="Q546"/>
  <c r="I548" s="1"/>
  <c r="E546"/>
  <c r="D546"/>
  <c r="B546"/>
  <c r="Z544"/>
  <c r="Y544"/>
  <c r="X544"/>
  <c r="H543"/>
  <c r="J543"/>
  <c r="I541"/>
  <c r="AB541" s="1"/>
  <c r="H541"/>
  <c r="G541"/>
  <c r="E541"/>
  <c r="J540"/>
  <c r="I540"/>
  <c r="E540"/>
  <c r="J539"/>
  <c r="I539"/>
  <c r="AA544" s="1"/>
  <c r="E539"/>
  <c r="K538"/>
  <c r="J538"/>
  <c r="W538"/>
  <c r="I538"/>
  <c r="H542" s="1"/>
  <c r="H538"/>
  <c r="G538"/>
  <c r="F538"/>
  <c r="V537"/>
  <c r="T537"/>
  <c r="K540" s="1"/>
  <c r="R537"/>
  <c r="K539" s="1"/>
  <c r="U537"/>
  <c r="S537"/>
  <c r="Q537"/>
  <c r="E537"/>
  <c r="D537"/>
  <c r="B537"/>
  <c r="Z535"/>
  <c r="Y535"/>
  <c r="X535"/>
  <c r="H534"/>
  <c r="J534"/>
  <c r="AB532"/>
  <c r="I532"/>
  <c r="H532"/>
  <c r="G532"/>
  <c r="E532"/>
  <c r="J531"/>
  <c r="E531"/>
  <c r="J530"/>
  <c r="I530"/>
  <c r="H533" s="1"/>
  <c r="E530"/>
  <c r="K529"/>
  <c r="J529"/>
  <c r="W529"/>
  <c r="I529"/>
  <c r="H529"/>
  <c r="G529"/>
  <c r="F529"/>
  <c r="V528"/>
  <c r="T528"/>
  <c r="K531" s="1"/>
  <c r="R528"/>
  <c r="K530" s="1"/>
  <c r="J533" s="1"/>
  <c r="U528"/>
  <c r="S528"/>
  <c r="I531" s="1"/>
  <c r="Q528"/>
  <c r="E528"/>
  <c r="D528"/>
  <c r="B528"/>
  <c r="AA526"/>
  <c r="Z526"/>
  <c r="Y526"/>
  <c r="X526"/>
  <c r="H525"/>
  <c r="P526"/>
  <c r="J525"/>
  <c r="I523"/>
  <c r="AB523" s="1"/>
  <c r="H523"/>
  <c r="G523"/>
  <c r="E523"/>
  <c r="K522"/>
  <c r="J522"/>
  <c r="E522"/>
  <c r="J521"/>
  <c r="E521"/>
  <c r="K520"/>
  <c r="J520"/>
  <c r="I520"/>
  <c r="H520"/>
  <c r="G520"/>
  <c r="F520"/>
  <c r="K519"/>
  <c r="J519"/>
  <c r="W519"/>
  <c r="I519"/>
  <c r="H519"/>
  <c r="G519"/>
  <c r="F519"/>
  <c r="V518"/>
  <c r="T518"/>
  <c r="R518"/>
  <c r="K521" s="1"/>
  <c r="U518"/>
  <c r="S518"/>
  <c r="I522" s="1"/>
  <c r="Q518"/>
  <c r="I521" s="1"/>
  <c r="H524" s="1"/>
  <c r="E518"/>
  <c r="D518"/>
  <c r="B518"/>
  <c r="AA516"/>
  <c r="Z516"/>
  <c r="Y516"/>
  <c r="P516"/>
  <c r="K515"/>
  <c r="J516" s="1"/>
  <c r="J515"/>
  <c r="I515"/>
  <c r="H515"/>
  <c r="G515"/>
  <c r="F515"/>
  <c r="V515"/>
  <c r="T515"/>
  <c r="R515"/>
  <c r="U515"/>
  <c r="S515"/>
  <c r="Q515"/>
  <c r="E515"/>
  <c r="D515"/>
  <c r="B515"/>
  <c r="AA513"/>
  <c r="Z513"/>
  <c r="Y513"/>
  <c r="H512"/>
  <c r="J512"/>
  <c r="I510"/>
  <c r="AB510" s="1"/>
  <c r="H510"/>
  <c r="G510"/>
  <c r="E510"/>
  <c r="K509"/>
  <c r="J509"/>
  <c r="E509"/>
  <c r="J508"/>
  <c r="E508"/>
  <c r="K507"/>
  <c r="J507"/>
  <c r="H507"/>
  <c r="AA507"/>
  <c r="Z507"/>
  <c r="Y507"/>
  <c r="I507"/>
  <c r="X507" s="1"/>
  <c r="F507"/>
  <c r="V507"/>
  <c r="T507"/>
  <c r="R507"/>
  <c r="K508" s="1"/>
  <c r="U507"/>
  <c r="S507"/>
  <c r="Q507"/>
  <c r="E507"/>
  <c r="D507"/>
  <c r="B507"/>
  <c r="K506"/>
  <c r="J506"/>
  <c r="I506"/>
  <c r="H506"/>
  <c r="G506"/>
  <c r="F506"/>
  <c r="K505"/>
  <c r="J505"/>
  <c r="I505"/>
  <c r="H505"/>
  <c r="G505"/>
  <c r="F505"/>
  <c r="C504"/>
  <c r="V503"/>
  <c r="T503"/>
  <c r="R503"/>
  <c r="U503"/>
  <c r="S503"/>
  <c r="I509" s="1"/>
  <c r="H511" s="1"/>
  <c r="Q503"/>
  <c r="I508" s="1"/>
  <c r="E503"/>
  <c r="D503"/>
  <c r="B503"/>
  <c r="AA501"/>
  <c r="Z501"/>
  <c r="Y501"/>
  <c r="X501"/>
  <c r="H500"/>
  <c r="J500"/>
  <c r="AB498"/>
  <c r="I498"/>
  <c r="H498"/>
  <c r="G498"/>
  <c r="E498"/>
  <c r="J497"/>
  <c r="E497"/>
  <c r="J496"/>
  <c r="E496"/>
  <c r="K495"/>
  <c r="J495"/>
  <c r="I495"/>
  <c r="H495"/>
  <c r="G495"/>
  <c r="F495"/>
  <c r="K494"/>
  <c r="J494"/>
  <c r="W494"/>
  <c r="I494"/>
  <c r="H494"/>
  <c r="G494"/>
  <c r="F494"/>
  <c r="C493"/>
  <c r="V492"/>
  <c r="T492"/>
  <c r="K497" s="1"/>
  <c r="R492"/>
  <c r="K496" s="1"/>
  <c r="U492"/>
  <c r="S492"/>
  <c r="I497" s="1"/>
  <c r="Q492"/>
  <c r="I496" s="1"/>
  <c r="H499" s="1"/>
  <c r="E492"/>
  <c r="D492"/>
  <c r="B492"/>
  <c r="AA490"/>
  <c r="Z490"/>
  <c r="Y490"/>
  <c r="H489"/>
  <c r="J489"/>
  <c r="AB487"/>
  <c r="I487"/>
  <c r="H487"/>
  <c r="G487"/>
  <c r="E487"/>
  <c r="J486"/>
  <c r="I486"/>
  <c r="E486"/>
  <c r="J485"/>
  <c r="E485"/>
  <c r="K484"/>
  <c r="J484"/>
  <c r="H484"/>
  <c r="AA484"/>
  <c r="Z484"/>
  <c r="Y484"/>
  <c r="X484"/>
  <c r="I484"/>
  <c r="F484"/>
  <c r="V484"/>
  <c r="T484"/>
  <c r="R484"/>
  <c r="U484"/>
  <c r="S484"/>
  <c r="Q484"/>
  <c r="I485" s="1"/>
  <c r="O490" s="1"/>
  <c r="E484"/>
  <c r="D484"/>
  <c r="B484"/>
  <c r="K483"/>
  <c r="J483"/>
  <c r="I483"/>
  <c r="H483"/>
  <c r="G483"/>
  <c r="F483"/>
  <c r="K482"/>
  <c r="J482"/>
  <c r="W482"/>
  <c r="I482"/>
  <c r="H482"/>
  <c r="G482"/>
  <c r="F482"/>
  <c r="C481"/>
  <c r="V480"/>
  <c r="T480"/>
  <c r="R480"/>
  <c r="K485" s="1"/>
  <c r="U480"/>
  <c r="S480"/>
  <c r="Q480"/>
  <c r="E480"/>
  <c r="D480"/>
  <c r="B480"/>
  <c r="AA478"/>
  <c r="Z478"/>
  <c r="X478"/>
  <c r="H477"/>
  <c r="J477"/>
  <c r="J476"/>
  <c r="I475"/>
  <c r="AB475" s="1"/>
  <c r="H475"/>
  <c r="G475"/>
  <c r="E475"/>
  <c r="J474"/>
  <c r="E474"/>
  <c r="J473"/>
  <c r="E473"/>
  <c r="K472"/>
  <c r="J472"/>
  <c r="H472"/>
  <c r="AA472"/>
  <c r="Z472"/>
  <c r="Y472"/>
  <c r="X472"/>
  <c r="I472"/>
  <c r="F472"/>
  <c r="V472"/>
  <c r="T472"/>
  <c r="R472"/>
  <c r="U472"/>
  <c r="S472"/>
  <c r="Q472"/>
  <c r="E472"/>
  <c r="D472"/>
  <c r="B472"/>
  <c r="K471"/>
  <c r="J471"/>
  <c r="I471"/>
  <c r="H471"/>
  <c r="G471"/>
  <c r="F471"/>
  <c r="K470"/>
  <c r="J470"/>
  <c r="W470"/>
  <c r="I470"/>
  <c r="H470"/>
  <c r="G470"/>
  <c r="F470"/>
  <c r="K469"/>
  <c r="J469"/>
  <c r="I469"/>
  <c r="H469"/>
  <c r="G469"/>
  <c r="F469"/>
  <c r="K468"/>
  <c r="P478" s="1"/>
  <c r="J468"/>
  <c r="W468"/>
  <c r="I468"/>
  <c r="H468"/>
  <c r="G468"/>
  <c r="F468"/>
  <c r="C467"/>
  <c r="V466"/>
  <c r="T466"/>
  <c r="K474" s="1"/>
  <c r="R466"/>
  <c r="K473" s="1"/>
  <c r="U466"/>
  <c r="S466"/>
  <c r="I474" s="1"/>
  <c r="Q466"/>
  <c r="I473" s="1"/>
  <c r="E466"/>
  <c r="D466"/>
  <c r="B466"/>
  <c r="AA464"/>
  <c r="Z464"/>
  <c r="X464"/>
  <c r="H463"/>
  <c r="J463"/>
  <c r="I461"/>
  <c r="AB461" s="1"/>
  <c r="H461"/>
  <c r="G461"/>
  <c r="E461"/>
  <c r="K460"/>
  <c r="J460"/>
  <c r="E460"/>
  <c r="K459"/>
  <c r="J459"/>
  <c r="E459"/>
  <c r="K458"/>
  <c r="P464" s="1"/>
  <c r="J458"/>
  <c r="I458"/>
  <c r="H458"/>
  <c r="G458"/>
  <c r="F458"/>
  <c r="K457"/>
  <c r="J462" s="1"/>
  <c r="J457"/>
  <c r="I457"/>
  <c r="H457"/>
  <c r="G457"/>
  <c r="F457"/>
  <c r="C456"/>
  <c r="V455"/>
  <c r="T455"/>
  <c r="R455"/>
  <c r="U455"/>
  <c r="S455"/>
  <c r="I460" s="1"/>
  <c r="O464" s="1"/>
  <c r="Q455"/>
  <c r="I459" s="1"/>
  <c r="E455"/>
  <c r="D455"/>
  <c r="B455"/>
  <c r="AA453"/>
  <c r="Z453"/>
  <c r="X453"/>
  <c r="H452"/>
  <c r="J452"/>
  <c r="J451"/>
  <c r="AB450"/>
  <c r="I450"/>
  <c r="H450"/>
  <c r="G450"/>
  <c r="E450"/>
  <c r="J449"/>
  <c r="I449"/>
  <c r="E449"/>
  <c r="J448"/>
  <c r="E448"/>
  <c r="K447"/>
  <c r="J447"/>
  <c r="H447"/>
  <c r="AA447"/>
  <c r="Z447"/>
  <c r="X447"/>
  <c r="I447"/>
  <c r="Y447" s="1"/>
  <c r="F447"/>
  <c r="V447"/>
  <c r="T447"/>
  <c r="R447"/>
  <c r="U447"/>
  <c r="S447"/>
  <c r="Q447"/>
  <c r="E447"/>
  <c r="D447"/>
  <c r="B447"/>
  <c r="K446"/>
  <c r="J446"/>
  <c r="I446"/>
  <c r="H446"/>
  <c r="G446"/>
  <c r="F446"/>
  <c r="K445"/>
  <c r="J445"/>
  <c r="I445"/>
  <c r="W445" s="1"/>
  <c r="H445"/>
  <c r="G445"/>
  <c r="F445"/>
  <c r="K444"/>
  <c r="J444"/>
  <c r="I444"/>
  <c r="H444"/>
  <c r="G444"/>
  <c r="F444"/>
  <c r="K443"/>
  <c r="P453" s="1"/>
  <c r="J443"/>
  <c r="W443"/>
  <c r="I443"/>
  <c r="H443"/>
  <c r="G443"/>
  <c r="F443"/>
  <c r="C442"/>
  <c r="V441"/>
  <c r="T441"/>
  <c r="K449" s="1"/>
  <c r="R441"/>
  <c r="K448" s="1"/>
  <c r="U441"/>
  <c r="S441"/>
  <c r="Q441"/>
  <c r="I448" s="1"/>
  <c r="E441"/>
  <c r="D441"/>
  <c r="B441"/>
  <c r="AA439"/>
  <c r="Z439"/>
  <c r="X439"/>
  <c r="O439"/>
  <c r="H439"/>
  <c r="K438"/>
  <c r="J438"/>
  <c r="I438"/>
  <c r="Y439" s="1"/>
  <c r="H438"/>
  <c r="G438"/>
  <c r="F438"/>
  <c r="V438"/>
  <c r="T438"/>
  <c r="R438"/>
  <c r="U438"/>
  <c r="S438"/>
  <c r="Q438"/>
  <c r="E438"/>
  <c r="D438"/>
  <c r="B438"/>
  <c r="AA436"/>
  <c r="Z436"/>
  <c r="X436"/>
  <c r="H435"/>
  <c r="J435"/>
  <c r="J434"/>
  <c r="AB433"/>
  <c r="I433"/>
  <c r="H433"/>
  <c r="G433"/>
  <c r="E433"/>
  <c r="J432"/>
  <c r="I432"/>
  <c r="E432"/>
  <c r="J431"/>
  <c r="E431"/>
  <c r="K430"/>
  <c r="J430"/>
  <c r="H430"/>
  <c r="AA430"/>
  <c r="Z430"/>
  <c r="X430"/>
  <c r="I430"/>
  <c r="Y430" s="1"/>
  <c r="F430"/>
  <c r="V430"/>
  <c r="T430"/>
  <c r="R430"/>
  <c r="U430"/>
  <c r="S430"/>
  <c r="Q430"/>
  <c r="E430"/>
  <c r="D430"/>
  <c r="B430"/>
  <c r="K429"/>
  <c r="J429"/>
  <c r="I429"/>
  <c r="H429"/>
  <c r="G429"/>
  <c r="F429"/>
  <c r="K428"/>
  <c r="J428"/>
  <c r="I428"/>
  <c r="W428" s="1"/>
  <c r="H428"/>
  <c r="G428"/>
  <c r="F428"/>
  <c r="K427"/>
  <c r="J427"/>
  <c r="I427"/>
  <c r="H427"/>
  <c r="G427"/>
  <c r="F427"/>
  <c r="K426"/>
  <c r="P436" s="1"/>
  <c r="J426"/>
  <c r="W426"/>
  <c r="I426"/>
  <c r="H426"/>
  <c r="G426"/>
  <c r="F426"/>
  <c r="C425"/>
  <c r="V424"/>
  <c r="T424"/>
  <c r="K432" s="1"/>
  <c r="R424"/>
  <c r="K431" s="1"/>
  <c r="U424"/>
  <c r="S424"/>
  <c r="Q424"/>
  <c r="I431" s="1"/>
  <c r="E424"/>
  <c r="D424"/>
  <c r="B424"/>
  <c r="AA422"/>
  <c r="Z422"/>
  <c r="X422"/>
  <c r="O422"/>
  <c r="H422"/>
  <c r="K421"/>
  <c r="J421"/>
  <c r="I421"/>
  <c r="Y422" s="1"/>
  <c r="H421"/>
  <c r="G421"/>
  <c r="F421"/>
  <c r="V421"/>
  <c r="T421"/>
  <c r="R421"/>
  <c r="U421"/>
  <c r="S421"/>
  <c r="Q421"/>
  <c r="E421"/>
  <c r="D421"/>
  <c r="B421"/>
  <c r="AA419"/>
  <c r="Z419"/>
  <c r="X419"/>
  <c r="H418"/>
  <c r="J418"/>
  <c r="J417"/>
  <c r="AB416"/>
  <c r="I416"/>
  <c r="H416"/>
  <c r="G416"/>
  <c r="E416"/>
  <c r="J415"/>
  <c r="I415"/>
  <c r="E415"/>
  <c r="J414"/>
  <c r="E414"/>
  <c r="K413"/>
  <c r="J413"/>
  <c r="H413"/>
  <c r="AA413"/>
  <c r="Z413"/>
  <c r="X413"/>
  <c r="I413"/>
  <c r="Y413" s="1"/>
  <c r="F413"/>
  <c r="V413"/>
  <c r="T413"/>
  <c r="R413"/>
  <c r="U413"/>
  <c r="S413"/>
  <c r="Q413"/>
  <c r="E413"/>
  <c r="D413"/>
  <c r="B413"/>
  <c r="K412"/>
  <c r="J412"/>
  <c r="I412"/>
  <c r="H412"/>
  <c r="G412"/>
  <c r="F412"/>
  <c r="K411"/>
  <c r="J411"/>
  <c r="I411"/>
  <c r="W411" s="1"/>
  <c r="H411"/>
  <c r="G411"/>
  <c r="F411"/>
  <c r="K410"/>
  <c r="J410"/>
  <c r="I410"/>
  <c r="H410"/>
  <c r="G410"/>
  <c r="F410"/>
  <c r="K409"/>
  <c r="P419" s="1"/>
  <c r="J409"/>
  <c r="W409"/>
  <c r="I409"/>
  <c r="H409"/>
  <c r="G409"/>
  <c r="F409"/>
  <c r="C408"/>
  <c r="V407"/>
  <c r="T407"/>
  <c r="K415" s="1"/>
  <c r="R407"/>
  <c r="K414" s="1"/>
  <c r="U407"/>
  <c r="S407"/>
  <c r="Q407"/>
  <c r="I414" s="1"/>
  <c r="E407"/>
  <c r="D407"/>
  <c r="B407"/>
  <c r="AA405"/>
  <c r="Z405"/>
  <c r="X405"/>
  <c r="H404"/>
  <c r="J404"/>
  <c r="I402"/>
  <c r="AB402" s="1"/>
  <c r="H402"/>
  <c r="G402"/>
  <c r="E402"/>
  <c r="J401"/>
  <c r="E401"/>
  <c r="J400"/>
  <c r="E400"/>
  <c r="K399"/>
  <c r="J399"/>
  <c r="H399"/>
  <c r="AA399"/>
  <c r="Z399"/>
  <c r="Y399"/>
  <c r="X399"/>
  <c r="I399"/>
  <c r="F399"/>
  <c r="V399"/>
  <c r="T399"/>
  <c r="R399"/>
  <c r="U399"/>
  <c r="S399"/>
  <c r="Q399"/>
  <c r="I400" s="1"/>
  <c r="O405" s="1"/>
  <c r="E399"/>
  <c r="D399"/>
  <c r="B399"/>
  <c r="K398"/>
  <c r="J398"/>
  <c r="I398"/>
  <c r="H398"/>
  <c r="G398"/>
  <c r="F398"/>
  <c r="K397"/>
  <c r="J397"/>
  <c r="W397"/>
  <c r="I397"/>
  <c r="H397"/>
  <c r="G397"/>
  <c r="F397"/>
  <c r="K396"/>
  <c r="J396"/>
  <c r="I396"/>
  <c r="H396"/>
  <c r="G396"/>
  <c r="F396"/>
  <c r="K395"/>
  <c r="J395"/>
  <c r="I395"/>
  <c r="H395"/>
  <c r="G395"/>
  <c r="F395"/>
  <c r="C394"/>
  <c r="V393"/>
  <c r="T393"/>
  <c r="R393"/>
  <c r="K400" s="1"/>
  <c r="U393"/>
  <c r="S393"/>
  <c r="I401" s="1"/>
  <c r="Q393"/>
  <c r="E393"/>
  <c r="D393"/>
  <c r="B393"/>
  <c r="AA391"/>
  <c r="Z391"/>
  <c r="X391"/>
  <c r="H390"/>
  <c r="J390"/>
  <c r="I388"/>
  <c r="AB388" s="1"/>
  <c r="H388"/>
  <c r="G388"/>
  <c r="E388"/>
  <c r="J387"/>
  <c r="E387"/>
  <c r="J386"/>
  <c r="E386"/>
  <c r="K385"/>
  <c r="P391" s="1"/>
  <c r="J385"/>
  <c r="I385"/>
  <c r="H385"/>
  <c r="G385"/>
  <c r="F385"/>
  <c r="K384"/>
  <c r="J384"/>
  <c r="W384"/>
  <c r="I384"/>
  <c r="H384"/>
  <c r="G384"/>
  <c r="F384"/>
  <c r="K383"/>
  <c r="J383"/>
  <c r="I383"/>
  <c r="H383"/>
  <c r="G383"/>
  <c r="F383"/>
  <c r="K382"/>
  <c r="J382"/>
  <c r="W382"/>
  <c r="I382"/>
  <c r="H382"/>
  <c r="G382"/>
  <c r="F382"/>
  <c r="C381"/>
  <c r="V380"/>
  <c r="T380"/>
  <c r="K387" s="1"/>
  <c r="R380"/>
  <c r="K386" s="1"/>
  <c r="U380"/>
  <c r="S380"/>
  <c r="I387" s="1"/>
  <c r="Q380"/>
  <c r="I386" s="1"/>
  <c r="O391" s="1"/>
  <c r="E380"/>
  <c r="D380"/>
  <c r="B380"/>
  <c r="AA378"/>
  <c r="Z378"/>
  <c r="Y378"/>
  <c r="X378"/>
  <c r="O378"/>
  <c r="H378"/>
  <c r="K377"/>
  <c r="J377"/>
  <c r="I377"/>
  <c r="H377"/>
  <c r="G377"/>
  <c r="F377"/>
  <c r="V377"/>
  <c r="T377"/>
  <c r="R377"/>
  <c r="U377"/>
  <c r="S377"/>
  <c r="Q377"/>
  <c r="E377"/>
  <c r="D377"/>
  <c r="B377"/>
  <c r="AA375"/>
  <c r="Z375"/>
  <c r="Y375"/>
  <c r="H374"/>
  <c r="J374"/>
  <c r="J373"/>
  <c r="AB372"/>
  <c r="I372"/>
  <c r="H372"/>
  <c r="G372"/>
  <c r="E372"/>
  <c r="J371"/>
  <c r="I371"/>
  <c r="E371"/>
  <c r="J370"/>
  <c r="E370"/>
  <c r="K369"/>
  <c r="J369"/>
  <c r="H369"/>
  <c r="AA369"/>
  <c r="Z369"/>
  <c r="Y369"/>
  <c r="I369"/>
  <c r="X369" s="1"/>
  <c r="F369"/>
  <c r="V369"/>
  <c r="T369"/>
  <c r="R369"/>
  <c r="U369"/>
  <c r="S369"/>
  <c r="Q369"/>
  <c r="E369"/>
  <c r="D369"/>
  <c r="B369"/>
  <c r="K368"/>
  <c r="J368"/>
  <c r="I368"/>
  <c r="H368"/>
  <c r="G368"/>
  <c r="F368"/>
  <c r="K367"/>
  <c r="J367"/>
  <c r="I367"/>
  <c r="W367" s="1"/>
  <c r="H367"/>
  <c r="G367"/>
  <c r="F367"/>
  <c r="K366"/>
  <c r="J366"/>
  <c r="I366"/>
  <c r="H366"/>
  <c r="G366"/>
  <c r="F366"/>
  <c r="K365"/>
  <c r="P375" s="1"/>
  <c r="J365"/>
  <c r="W365"/>
  <c r="I365"/>
  <c r="H365"/>
  <c r="G365"/>
  <c r="F365"/>
  <c r="C364"/>
  <c r="V363"/>
  <c r="T363"/>
  <c r="K371" s="1"/>
  <c r="R363"/>
  <c r="K370" s="1"/>
  <c r="U363"/>
  <c r="S363"/>
  <c r="Q363"/>
  <c r="I370" s="1"/>
  <c r="H373" s="1"/>
  <c r="E363"/>
  <c r="D363"/>
  <c r="B363"/>
  <c r="AA361"/>
  <c r="Z361"/>
  <c r="X361"/>
  <c r="O361"/>
  <c r="H361"/>
  <c r="K360"/>
  <c r="J360"/>
  <c r="I360"/>
  <c r="Y361" s="1"/>
  <c r="H360"/>
  <c r="G360"/>
  <c r="F360"/>
  <c r="V360"/>
  <c r="T360"/>
  <c r="R360"/>
  <c r="U360"/>
  <c r="S360"/>
  <c r="Q360"/>
  <c r="E360"/>
  <c r="D360"/>
  <c r="B360"/>
  <c r="AA358"/>
  <c r="Z358"/>
  <c r="X358"/>
  <c r="H357"/>
  <c r="J357"/>
  <c r="J356"/>
  <c r="AB355"/>
  <c r="I355"/>
  <c r="H355"/>
  <c r="G355"/>
  <c r="E355"/>
  <c r="J354"/>
  <c r="E354"/>
  <c r="J353"/>
  <c r="E353"/>
  <c r="K352"/>
  <c r="J352"/>
  <c r="H352"/>
  <c r="AA352"/>
  <c r="Z352"/>
  <c r="X352"/>
  <c r="I352"/>
  <c r="Y352" s="1"/>
  <c r="F352"/>
  <c r="V352"/>
  <c r="T352"/>
  <c r="R352"/>
  <c r="U352"/>
  <c r="S352"/>
  <c r="Q352"/>
  <c r="I353" s="1"/>
  <c r="E352"/>
  <c r="D352"/>
  <c r="B352"/>
  <c r="K351"/>
  <c r="J351"/>
  <c r="H351"/>
  <c r="AA351"/>
  <c r="Z351"/>
  <c r="Y351"/>
  <c r="X351"/>
  <c r="I351"/>
  <c r="F351"/>
  <c r="V351"/>
  <c r="T351"/>
  <c r="R351"/>
  <c r="U351"/>
  <c r="S351"/>
  <c r="Q351"/>
  <c r="E351"/>
  <c r="D351"/>
  <c r="B351"/>
  <c r="K350"/>
  <c r="J350"/>
  <c r="I350"/>
  <c r="H350"/>
  <c r="G350"/>
  <c r="F350"/>
  <c r="K349"/>
  <c r="J349"/>
  <c r="I349"/>
  <c r="W349" s="1"/>
  <c r="H349"/>
  <c r="G349"/>
  <c r="F349"/>
  <c r="K348"/>
  <c r="J348"/>
  <c r="I348"/>
  <c r="H348"/>
  <c r="G348"/>
  <c r="F348"/>
  <c r="K347"/>
  <c r="J347"/>
  <c r="I347"/>
  <c r="H347"/>
  <c r="G347"/>
  <c r="F347"/>
  <c r="C346"/>
  <c r="V345"/>
  <c r="T345"/>
  <c r="K354" s="1"/>
  <c r="R345"/>
  <c r="K353" s="1"/>
  <c r="U345"/>
  <c r="S345"/>
  <c r="I354" s="1"/>
  <c r="Q345"/>
  <c r="E345"/>
  <c r="D345"/>
  <c r="B345"/>
  <c r="AA343"/>
  <c r="Z343"/>
  <c r="Y343"/>
  <c r="X343"/>
  <c r="P343"/>
  <c r="J343"/>
  <c r="K342"/>
  <c r="J342"/>
  <c r="I342"/>
  <c r="H342"/>
  <c r="G342"/>
  <c r="F342"/>
  <c r="V342"/>
  <c r="T342"/>
  <c r="R342"/>
  <c r="U342"/>
  <c r="S342"/>
  <c r="Q342"/>
  <c r="E342"/>
  <c r="D342"/>
  <c r="B342"/>
  <c r="AA340"/>
  <c r="Z340"/>
  <c r="X340"/>
  <c r="H339"/>
  <c r="J339"/>
  <c r="I337"/>
  <c r="AB337" s="1"/>
  <c r="H337"/>
  <c r="G337"/>
  <c r="E337"/>
  <c r="K336"/>
  <c r="J336"/>
  <c r="E336"/>
  <c r="J335"/>
  <c r="E335"/>
  <c r="K334"/>
  <c r="J334"/>
  <c r="I334"/>
  <c r="H334"/>
  <c r="G334"/>
  <c r="F334"/>
  <c r="K333"/>
  <c r="J333"/>
  <c r="I333"/>
  <c r="W333" s="1"/>
  <c r="H333"/>
  <c r="G333"/>
  <c r="F333"/>
  <c r="K332"/>
  <c r="J332"/>
  <c r="I332"/>
  <c r="H332"/>
  <c r="G332"/>
  <c r="F332"/>
  <c r="K331"/>
  <c r="J331"/>
  <c r="W331"/>
  <c r="I331"/>
  <c r="H331"/>
  <c r="G331"/>
  <c r="F331"/>
  <c r="C330"/>
  <c r="V329"/>
  <c r="T329"/>
  <c r="R329"/>
  <c r="K335" s="1"/>
  <c r="U329"/>
  <c r="S329"/>
  <c r="I336" s="1"/>
  <c r="Q329"/>
  <c r="I335" s="1"/>
  <c r="O340" s="1"/>
  <c r="E329"/>
  <c r="D329"/>
  <c r="B329"/>
  <c r="AA327"/>
  <c r="Z327"/>
  <c r="X327"/>
  <c r="H326"/>
  <c r="J326"/>
  <c r="I324"/>
  <c r="AB324" s="1"/>
  <c r="H324"/>
  <c r="G324"/>
  <c r="E324"/>
  <c r="J323"/>
  <c r="E323"/>
  <c r="J322"/>
  <c r="E322"/>
  <c r="K321"/>
  <c r="J321"/>
  <c r="H321"/>
  <c r="AA321"/>
  <c r="Z321"/>
  <c r="Y321"/>
  <c r="X321"/>
  <c r="I321"/>
  <c r="F321"/>
  <c r="V321"/>
  <c r="T321"/>
  <c r="R321"/>
  <c r="U321"/>
  <c r="S321"/>
  <c r="Q321"/>
  <c r="E321"/>
  <c r="D321"/>
  <c r="B321"/>
  <c r="K320"/>
  <c r="J320"/>
  <c r="H320"/>
  <c r="AA320"/>
  <c r="Z320"/>
  <c r="X320"/>
  <c r="I320"/>
  <c r="Y320" s="1"/>
  <c r="F320"/>
  <c r="V320"/>
  <c r="T320"/>
  <c r="R320"/>
  <c r="U320"/>
  <c r="S320"/>
  <c r="Q320"/>
  <c r="E320"/>
  <c r="D320"/>
  <c r="B320"/>
  <c r="K319"/>
  <c r="J319"/>
  <c r="H319"/>
  <c r="AA319"/>
  <c r="Z319"/>
  <c r="Y319"/>
  <c r="X319"/>
  <c r="I319"/>
  <c r="F319"/>
  <c r="V319"/>
  <c r="T319"/>
  <c r="R319"/>
  <c r="U319"/>
  <c r="S319"/>
  <c r="I323" s="1"/>
  <c r="Q319"/>
  <c r="I322" s="1"/>
  <c r="E319"/>
  <c r="D319"/>
  <c r="B319"/>
  <c r="K318"/>
  <c r="J318"/>
  <c r="H318"/>
  <c r="AA318"/>
  <c r="Z318"/>
  <c r="X318"/>
  <c r="I318"/>
  <c r="Y318" s="1"/>
  <c r="F318"/>
  <c r="V318"/>
  <c r="T318"/>
  <c r="R318"/>
  <c r="U318"/>
  <c r="S318"/>
  <c r="Q318"/>
  <c r="E318"/>
  <c r="D318"/>
  <c r="B318"/>
  <c r="K317"/>
  <c r="J317"/>
  <c r="I317"/>
  <c r="O327" s="1"/>
  <c r="H317"/>
  <c r="G317"/>
  <c r="F317"/>
  <c r="K316"/>
  <c r="J316"/>
  <c r="I316"/>
  <c r="H316"/>
  <c r="G316"/>
  <c r="F316"/>
  <c r="K315"/>
  <c r="J315"/>
  <c r="W315"/>
  <c r="I315"/>
  <c r="H315"/>
  <c r="G315"/>
  <c r="F315"/>
  <c r="V314"/>
  <c r="T314"/>
  <c r="R314"/>
  <c r="U314"/>
  <c r="S314"/>
  <c r="Q314"/>
  <c r="E314"/>
  <c r="D314"/>
  <c r="B314"/>
  <c r="A313"/>
  <c r="H311"/>
  <c r="J311"/>
  <c r="H310"/>
  <c r="J310"/>
  <c r="A309"/>
  <c r="Z306"/>
  <c r="Y306"/>
  <c r="X306"/>
  <c r="H305"/>
  <c r="J305"/>
  <c r="J304"/>
  <c r="AB303"/>
  <c r="I303"/>
  <c r="H303"/>
  <c r="G303"/>
  <c r="E303"/>
  <c r="J302"/>
  <c r="E302"/>
  <c r="K301"/>
  <c r="J301"/>
  <c r="I301"/>
  <c r="E301"/>
  <c r="K300"/>
  <c r="J300"/>
  <c r="I300"/>
  <c r="H300"/>
  <c r="G300"/>
  <c r="F300"/>
  <c r="V299"/>
  <c r="T299"/>
  <c r="K302" s="1"/>
  <c r="R299"/>
  <c r="U299"/>
  <c r="S299"/>
  <c r="I302" s="1"/>
  <c r="Q299"/>
  <c r="E299"/>
  <c r="D299"/>
  <c r="B299"/>
  <c r="Z297"/>
  <c r="Y297"/>
  <c r="X297"/>
  <c r="H296"/>
  <c r="J296"/>
  <c r="AB294"/>
  <c r="I294"/>
  <c r="H294"/>
  <c r="G294"/>
  <c r="E294"/>
  <c r="K293"/>
  <c r="J293"/>
  <c r="E293"/>
  <c r="K292"/>
  <c r="J292"/>
  <c r="E292"/>
  <c r="K291"/>
  <c r="J291"/>
  <c r="I291"/>
  <c r="H291"/>
  <c r="G291"/>
  <c r="F291"/>
  <c r="V290"/>
  <c r="T290"/>
  <c r="R290"/>
  <c r="U290"/>
  <c r="S290"/>
  <c r="I293" s="1"/>
  <c r="Q290"/>
  <c r="I292" s="1"/>
  <c r="E290"/>
  <c r="D290"/>
  <c r="B290"/>
  <c r="Z288"/>
  <c r="Y288"/>
  <c r="X288"/>
  <c r="H287"/>
  <c r="P288"/>
  <c r="J287"/>
  <c r="I285"/>
  <c r="AB285" s="1"/>
  <c r="H285"/>
  <c r="G285"/>
  <c r="E285"/>
  <c r="J284"/>
  <c r="E284"/>
  <c r="J283"/>
  <c r="E283"/>
  <c r="K282"/>
  <c r="J282"/>
  <c r="W282"/>
  <c r="I282"/>
  <c r="H282"/>
  <c r="G282"/>
  <c r="F282"/>
  <c r="V281"/>
  <c r="T281"/>
  <c r="K284" s="1"/>
  <c r="R281"/>
  <c r="K283" s="1"/>
  <c r="U281"/>
  <c r="S281"/>
  <c r="I284" s="1"/>
  <c r="Q281"/>
  <c r="I283" s="1"/>
  <c r="E281"/>
  <c r="D281"/>
  <c r="B281"/>
  <c r="AA279"/>
  <c r="Z279"/>
  <c r="Y279"/>
  <c r="X279"/>
  <c r="O279"/>
  <c r="H278"/>
  <c r="J278"/>
  <c r="I276"/>
  <c r="AB276" s="1"/>
  <c r="H276"/>
  <c r="G276"/>
  <c r="E276"/>
  <c r="J275"/>
  <c r="I275"/>
  <c r="E275"/>
  <c r="J274"/>
  <c r="I274"/>
  <c r="E274"/>
  <c r="K273"/>
  <c r="J273"/>
  <c r="W273"/>
  <c r="I273"/>
  <c r="H273"/>
  <c r="G273"/>
  <c r="F273"/>
  <c r="V272"/>
  <c r="T272"/>
  <c r="K275" s="1"/>
  <c r="R272"/>
  <c r="K274" s="1"/>
  <c r="J277" s="1"/>
  <c r="U272"/>
  <c r="S272"/>
  <c r="Q272"/>
  <c r="E272"/>
  <c r="D272"/>
  <c r="B272"/>
  <c r="AA270"/>
  <c r="Y270"/>
  <c r="X270"/>
  <c r="P270"/>
  <c r="J270"/>
  <c r="K269"/>
  <c r="J269"/>
  <c r="I269"/>
  <c r="O270" s="1"/>
  <c r="H269"/>
  <c r="G269"/>
  <c r="F269"/>
  <c r="V269"/>
  <c r="T269"/>
  <c r="R269"/>
  <c r="U269"/>
  <c r="S269"/>
  <c r="Q269"/>
  <c r="E269"/>
  <c r="D269"/>
  <c r="B269"/>
  <c r="AA267"/>
  <c r="Z267"/>
  <c r="Y267"/>
  <c r="H266"/>
  <c r="J266"/>
  <c r="AB264"/>
  <c r="I264"/>
  <c r="H264"/>
  <c r="G264"/>
  <c r="E264"/>
  <c r="K263"/>
  <c r="J263"/>
  <c r="E263"/>
  <c r="K262"/>
  <c r="J262"/>
  <c r="E262"/>
  <c r="K261"/>
  <c r="J261"/>
  <c r="H261"/>
  <c r="AA261"/>
  <c r="Z261"/>
  <c r="Y261"/>
  <c r="I261"/>
  <c r="X261" s="1"/>
  <c r="F261"/>
  <c r="V261"/>
  <c r="T261"/>
  <c r="R261"/>
  <c r="U261"/>
  <c r="S261"/>
  <c r="Q261"/>
  <c r="E261"/>
  <c r="D261"/>
  <c r="B261"/>
  <c r="K260"/>
  <c r="J260"/>
  <c r="I260"/>
  <c r="H260"/>
  <c r="G260"/>
  <c r="F260"/>
  <c r="K259"/>
  <c r="J259"/>
  <c r="I259"/>
  <c r="W259" s="1"/>
  <c r="H259"/>
  <c r="G259"/>
  <c r="F259"/>
  <c r="K258"/>
  <c r="P267" s="1"/>
  <c r="J258"/>
  <c r="I258"/>
  <c r="H258"/>
  <c r="G258"/>
  <c r="F258"/>
  <c r="K257"/>
  <c r="J257"/>
  <c r="W257"/>
  <c r="I257"/>
  <c r="X267" s="1"/>
  <c r="H257"/>
  <c r="G257"/>
  <c r="F257"/>
  <c r="V256"/>
  <c r="T256"/>
  <c r="R256"/>
  <c r="U256"/>
  <c r="S256"/>
  <c r="I263" s="1"/>
  <c r="Q256"/>
  <c r="I262" s="1"/>
  <c r="E256"/>
  <c r="D256"/>
  <c r="B256"/>
  <c r="AA254"/>
  <c r="Z254"/>
  <c r="Y254"/>
  <c r="X254"/>
  <c r="H253"/>
  <c r="J253"/>
  <c r="I251"/>
  <c r="AB251" s="1"/>
  <c r="H251"/>
  <c r="G251"/>
  <c r="E251"/>
  <c r="J250"/>
  <c r="E250"/>
  <c r="J249"/>
  <c r="E249"/>
  <c r="K248"/>
  <c r="J248"/>
  <c r="H248"/>
  <c r="AA248"/>
  <c r="Z248"/>
  <c r="X248"/>
  <c r="I248"/>
  <c r="Y248" s="1"/>
  <c r="F248"/>
  <c r="V248"/>
  <c r="T248"/>
  <c r="R248"/>
  <c r="U248"/>
  <c r="S248"/>
  <c r="Q248"/>
  <c r="E248"/>
  <c r="D248"/>
  <c r="B248"/>
  <c r="K247"/>
  <c r="J247"/>
  <c r="I247"/>
  <c r="H247"/>
  <c r="G247"/>
  <c r="F247"/>
  <c r="K246"/>
  <c r="J246"/>
  <c r="I246"/>
  <c r="W246" s="1"/>
  <c r="H246"/>
  <c r="G246"/>
  <c r="F246"/>
  <c r="K245"/>
  <c r="J245"/>
  <c r="I245"/>
  <c r="H245"/>
  <c r="G245"/>
  <c r="F245"/>
  <c r="K244"/>
  <c r="J244"/>
  <c r="I244"/>
  <c r="H244"/>
  <c r="G244"/>
  <c r="F244"/>
  <c r="C243"/>
  <c r="V242"/>
  <c r="T242"/>
  <c r="K250" s="1"/>
  <c r="R242"/>
  <c r="U242"/>
  <c r="S242"/>
  <c r="I250" s="1"/>
  <c r="Q242"/>
  <c r="I249" s="1"/>
  <c r="E242"/>
  <c r="D242"/>
  <c r="B242"/>
  <c r="AA240"/>
  <c r="Z240"/>
  <c r="Y240"/>
  <c r="P240"/>
  <c r="J240"/>
  <c r="K239"/>
  <c r="J239"/>
  <c r="I239"/>
  <c r="H239"/>
  <c r="G239"/>
  <c r="F239"/>
  <c r="V239"/>
  <c r="T239"/>
  <c r="R239"/>
  <c r="U239"/>
  <c r="S239"/>
  <c r="Q239"/>
  <c r="E239"/>
  <c r="D239"/>
  <c r="B239"/>
  <c r="AA237"/>
  <c r="Z237"/>
  <c r="X237"/>
  <c r="H236"/>
  <c r="J236"/>
  <c r="I234"/>
  <c r="AB234" s="1"/>
  <c r="H234"/>
  <c r="G234"/>
  <c r="E234"/>
  <c r="K233"/>
  <c r="J233"/>
  <c r="E233"/>
  <c r="K232"/>
  <c r="J232"/>
  <c r="E232"/>
  <c r="K231"/>
  <c r="P237" s="1"/>
  <c r="J231"/>
  <c r="H231"/>
  <c r="AA231"/>
  <c r="Z231"/>
  <c r="Y231"/>
  <c r="X231"/>
  <c r="I231"/>
  <c r="F231"/>
  <c r="V231"/>
  <c r="T231"/>
  <c r="R231"/>
  <c r="U231"/>
  <c r="S231"/>
  <c r="Q231"/>
  <c r="E231"/>
  <c r="D231"/>
  <c r="B231"/>
  <c r="K230"/>
  <c r="J230"/>
  <c r="I230"/>
  <c r="H230"/>
  <c r="G230"/>
  <c r="F230"/>
  <c r="K229"/>
  <c r="J229"/>
  <c r="I229"/>
  <c r="W229" s="1"/>
  <c r="H229"/>
  <c r="G229"/>
  <c r="F229"/>
  <c r="K228"/>
  <c r="J228"/>
  <c r="I228"/>
  <c r="H228"/>
  <c r="G228"/>
  <c r="F228"/>
  <c r="K227"/>
  <c r="J235" s="1"/>
  <c r="J227"/>
  <c r="I227"/>
  <c r="H227"/>
  <c r="G227"/>
  <c r="F227"/>
  <c r="C226"/>
  <c r="V225"/>
  <c r="T225"/>
  <c r="R225"/>
  <c r="U225"/>
  <c r="S225"/>
  <c r="I233" s="1"/>
  <c r="Q225"/>
  <c r="I232" s="1"/>
  <c r="E225"/>
  <c r="D225"/>
  <c r="B225"/>
  <c r="AA223"/>
  <c r="Z223"/>
  <c r="Y223"/>
  <c r="P223"/>
  <c r="J223"/>
  <c r="K222"/>
  <c r="J222"/>
  <c r="I222"/>
  <c r="H222"/>
  <c r="G222"/>
  <c r="F222"/>
  <c r="V222"/>
  <c r="T222"/>
  <c r="R222"/>
  <c r="U222"/>
  <c r="S222"/>
  <c r="Q222"/>
  <c r="E222"/>
  <c r="D222"/>
  <c r="B222"/>
  <c r="AA220"/>
  <c r="Z220"/>
  <c r="X220"/>
  <c r="H219"/>
  <c r="J219"/>
  <c r="I217"/>
  <c r="AB217" s="1"/>
  <c r="H217"/>
  <c r="G217"/>
  <c r="E217"/>
  <c r="J216"/>
  <c r="E216"/>
  <c r="K215"/>
  <c r="J215"/>
  <c r="E215"/>
  <c r="K214"/>
  <c r="J214"/>
  <c r="I214"/>
  <c r="H214"/>
  <c r="G214"/>
  <c r="F214"/>
  <c r="K213"/>
  <c r="J213"/>
  <c r="W213"/>
  <c r="I213"/>
  <c r="H213"/>
  <c r="G213"/>
  <c r="F213"/>
  <c r="K212"/>
  <c r="J212"/>
  <c r="I212"/>
  <c r="H212"/>
  <c r="G212"/>
  <c r="F212"/>
  <c r="K211"/>
  <c r="J211"/>
  <c r="W211"/>
  <c r="I211"/>
  <c r="H211"/>
  <c r="G211"/>
  <c r="F211"/>
  <c r="C210"/>
  <c r="V209"/>
  <c r="T209"/>
  <c r="K216" s="1"/>
  <c r="R209"/>
  <c r="U209"/>
  <c r="S209"/>
  <c r="I216" s="1"/>
  <c r="Q209"/>
  <c r="I215" s="1"/>
  <c r="O220" s="1"/>
  <c r="E209"/>
  <c r="D209"/>
  <c r="B209"/>
  <c r="AA207"/>
  <c r="Z207"/>
  <c r="Y207"/>
  <c r="X207"/>
  <c r="O207"/>
  <c r="H207"/>
  <c r="K206"/>
  <c r="J206"/>
  <c r="I206"/>
  <c r="H206"/>
  <c r="G206"/>
  <c r="F206"/>
  <c r="V206"/>
  <c r="T206"/>
  <c r="R206"/>
  <c r="U206"/>
  <c r="S206"/>
  <c r="Q206"/>
  <c r="E206"/>
  <c r="D206"/>
  <c r="B206"/>
  <c r="AA204"/>
  <c r="Z204"/>
  <c r="X204"/>
  <c r="H203"/>
  <c r="J203"/>
  <c r="AB201"/>
  <c r="I201"/>
  <c r="H201"/>
  <c r="G201"/>
  <c r="E201"/>
  <c r="J200"/>
  <c r="I200"/>
  <c r="E200"/>
  <c r="J199"/>
  <c r="I199"/>
  <c r="E199"/>
  <c r="K198"/>
  <c r="J198"/>
  <c r="H198"/>
  <c r="AA198"/>
  <c r="Z198"/>
  <c r="X198"/>
  <c r="I198"/>
  <c r="Y198" s="1"/>
  <c r="F198"/>
  <c r="V198"/>
  <c r="T198"/>
  <c r="R198"/>
  <c r="U198"/>
  <c r="S198"/>
  <c r="Q198"/>
  <c r="E198"/>
  <c r="D198"/>
  <c r="B198"/>
  <c r="K197"/>
  <c r="J197"/>
  <c r="H197"/>
  <c r="AA197"/>
  <c r="Z197"/>
  <c r="Y197"/>
  <c r="X197"/>
  <c r="I197"/>
  <c r="F197"/>
  <c r="V197"/>
  <c r="T197"/>
  <c r="R197"/>
  <c r="U197"/>
  <c r="S197"/>
  <c r="Q197"/>
  <c r="E197"/>
  <c r="D197"/>
  <c r="B197"/>
  <c r="K196"/>
  <c r="J196"/>
  <c r="H196"/>
  <c r="AA196"/>
  <c r="Z196"/>
  <c r="X196"/>
  <c r="I196"/>
  <c r="Y196" s="1"/>
  <c r="F196"/>
  <c r="V196"/>
  <c r="T196"/>
  <c r="R196"/>
  <c r="U196"/>
  <c r="S196"/>
  <c r="Q196"/>
  <c r="E196"/>
  <c r="D196"/>
  <c r="B196"/>
  <c r="K195"/>
  <c r="J195"/>
  <c r="H195"/>
  <c r="AA195"/>
  <c r="Z195"/>
  <c r="Y195"/>
  <c r="X195"/>
  <c r="I195"/>
  <c r="F195"/>
  <c r="V195"/>
  <c r="T195"/>
  <c r="R195"/>
  <c r="U195"/>
  <c r="S195"/>
  <c r="Q195"/>
  <c r="E195"/>
  <c r="D195"/>
  <c r="B195"/>
  <c r="K194"/>
  <c r="J194"/>
  <c r="I194"/>
  <c r="H194"/>
  <c r="G194"/>
  <c r="F194"/>
  <c r="K193"/>
  <c r="J202" s="1"/>
  <c r="J193"/>
  <c r="I193"/>
  <c r="H193"/>
  <c r="G193"/>
  <c r="F193"/>
  <c r="K192"/>
  <c r="J192"/>
  <c r="W192"/>
  <c r="I192"/>
  <c r="H192"/>
  <c r="G192"/>
  <c r="F192"/>
  <c r="V191"/>
  <c r="T191"/>
  <c r="K200" s="1"/>
  <c r="R191"/>
  <c r="K199" s="1"/>
  <c r="U191"/>
  <c r="S191"/>
  <c r="Q191"/>
  <c r="E191"/>
  <c r="D191"/>
  <c r="B191"/>
  <c r="AA189"/>
  <c r="Z189"/>
  <c r="Y189"/>
  <c r="P189"/>
  <c r="J189"/>
  <c r="K188"/>
  <c r="J188"/>
  <c r="I188"/>
  <c r="H188"/>
  <c r="G188"/>
  <c r="F188"/>
  <c r="V188"/>
  <c r="T188"/>
  <c r="R188"/>
  <c r="U188"/>
  <c r="S188"/>
  <c r="Q188"/>
  <c r="E188"/>
  <c r="D188"/>
  <c r="B188"/>
  <c r="AA186"/>
  <c r="Z186"/>
  <c r="X186"/>
  <c r="H185"/>
  <c r="J185"/>
  <c r="I183"/>
  <c r="AB183" s="1"/>
  <c r="H183"/>
  <c r="G183"/>
  <c r="E183"/>
  <c r="K182"/>
  <c r="J182"/>
  <c r="E182"/>
  <c r="K181"/>
  <c r="J181"/>
  <c r="E181"/>
  <c r="K180"/>
  <c r="P186" s="1"/>
  <c r="J180"/>
  <c r="H180"/>
  <c r="AA180"/>
  <c r="Z180"/>
  <c r="Y180"/>
  <c r="X180"/>
  <c r="I180"/>
  <c r="F180"/>
  <c r="V180"/>
  <c r="T180"/>
  <c r="R180"/>
  <c r="U180"/>
  <c r="S180"/>
  <c r="Q180"/>
  <c r="E180"/>
  <c r="D180"/>
  <c r="B180"/>
  <c r="K179"/>
  <c r="J179"/>
  <c r="I179"/>
  <c r="H179"/>
  <c r="G179"/>
  <c r="F179"/>
  <c r="K178"/>
  <c r="J178"/>
  <c r="I178"/>
  <c r="W178" s="1"/>
  <c r="H178"/>
  <c r="G178"/>
  <c r="F178"/>
  <c r="K177"/>
  <c r="J177"/>
  <c r="I177"/>
  <c r="H177"/>
  <c r="G177"/>
  <c r="F177"/>
  <c r="K176"/>
  <c r="J184" s="1"/>
  <c r="J176"/>
  <c r="I176"/>
  <c r="H176"/>
  <c r="G176"/>
  <c r="F176"/>
  <c r="C175"/>
  <c r="V174"/>
  <c r="T174"/>
  <c r="R174"/>
  <c r="U174"/>
  <c r="S174"/>
  <c r="I182" s="1"/>
  <c r="Q174"/>
  <c r="I181" s="1"/>
  <c r="E174"/>
  <c r="D174"/>
  <c r="B174"/>
  <c r="A173"/>
  <c r="H171"/>
  <c r="J171"/>
  <c r="H170"/>
  <c r="J170"/>
  <c r="A169"/>
  <c r="Z166"/>
  <c r="Y166"/>
  <c r="X166"/>
  <c r="H165"/>
  <c r="H164"/>
  <c r="J165"/>
  <c r="AB163"/>
  <c r="I163"/>
  <c r="H163"/>
  <c r="G163"/>
  <c r="E163"/>
  <c r="J162"/>
  <c r="E162"/>
  <c r="K161"/>
  <c r="J161"/>
  <c r="E161"/>
  <c r="K160"/>
  <c r="P166" s="1"/>
  <c r="J160"/>
  <c r="I160"/>
  <c r="H160"/>
  <c r="G160"/>
  <c r="F160"/>
  <c r="V159"/>
  <c r="T159"/>
  <c r="K162" s="1"/>
  <c r="R159"/>
  <c r="U159"/>
  <c r="S159"/>
  <c r="I162" s="1"/>
  <c r="Q159"/>
  <c r="I161" s="1"/>
  <c r="E159"/>
  <c r="D159"/>
  <c r="B159"/>
  <c r="Z157"/>
  <c r="Y157"/>
  <c r="X157"/>
  <c r="H156"/>
  <c r="J156"/>
  <c r="I154"/>
  <c r="AB154" s="1"/>
  <c r="H154"/>
  <c r="G154"/>
  <c r="E154"/>
  <c r="K153"/>
  <c r="J153"/>
  <c r="E153"/>
  <c r="K152"/>
  <c r="J152"/>
  <c r="E152"/>
  <c r="K151"/>
  <c r="J151"/>
  <c r="W151"/>
  <c r="I151"/>
  <c r="H151"/>
  <c r="G151"/>
  <c r="F151"/>
  <c r="V150"/>
  <c r="T150"/>
  <c r="R150"/>
  <c r="U150"/>
  <c r="S150"/>
  <c r="I153" s="1"/>
  <c r="Q150"/>
  <c r="I152" s="1"/>
  <c r="E150"/>
  <c r="D150"/>
  <c r="B150"/>
  <c r="AA148"/>
  <c r="Z148"/>
  <c r="Y148"/>
  <c r="X148"/>
  <c r="O148"/>
  <c r="H147"/>
  <c r="J147"/>
  <c r="I145"/>
  <c r="AB145" s="1"/>
  <c r="H145"/>
  <c r="G145"/>
  <c r="E145"/>
  <c r="J144"/>
  <c r="I144"/>
  <c r="E144"/>
  <c r="J143"/>
  <c r="I143"/>
  <c r="E143"/>
  <c r="K142"/>
  <c r="J142"/>
  <c r="W142"/>
  <c r="I142"/>
  <c r="H146" s="1"/>
  <c r="H142"/>
  <c r="G142"/>
  <c r="F142"/>
  <c r="V141"/>
  <c r="T141"/>
  <c r="K144" s="1"/>
  <c r="R141"/>
  <c r="K143" s="1"/>
  <c r="J146" s="1"/>
  <c r="U141"/>
  <c r="S141"/>
  <c r="Q141"/>
  <c r="E141"/>
  <c r="D141"/>
  <c r="B141"/>
  <c r="Z139"/>
  <c r="Y139"/>
  <c r="X139"/>
  <c r="H138"/>
  <c r="J138"/>
  <c r="J137"/>
  <c r="AB136"/>
  <c r="I136"/>
  <c r="H136"/>
  <c r="G136"/>
  <c r="E136"/>
  <c r="J135"/>
  <c r="I135"/>
  <c r="E135"/>
  <c r="K134"/>
  <c r="J134"/>
  <c r="I134"/>
  <c r="E134"/>
  <c r="K133"/>
  <c r="J133"/>
  <c r="W133"/>
  <c r="I133"/>
  <c r="H137" s="1"/>
  <c r="H133"/>
  <c r="G133"/>
  <c r="F133"/>
  <c r="V132"/>
  <c r="T132"/>
  <c r="K135" s="1"/>
  <c r="R132"/>
  <c r="U132"/>
  <c r="S132"/>
  <c r="Q132"/>
  <c r="E132"/>
  <c r="D132"/>
  <c r="B132"/>
  <c r="AA130"/>
  <c r="Y130"/>
  <c r="X130"/>
  <c r="P130"/>
  <c r="J130"/>
  <c r="K129"/>
  <c r="J129"/>
  <c r="I129"/>
  <c r="H129"/>
  <c r="G129"/>
  <c r="F129"/>
  <c r="V129"/>
  <c r="T129"/>
  <c r="R129"/>
  <c r="U129"/>
  <c r="S129"/>
  <c r="Q129"/>
  <c r="E129"/>
  <c r="D129"/>
  <c r="B129"/>
  <c r="AA127"/>
  <c r="Z127"/>
  <c r="X127"/>
  <c r="H126"/>
  <c r="J126"/>
  <c r="I124"/>
  <c r="AB124" s="1"/>
  <c r="H124"/>
  <c r="G124"/>
  <c r="E124"/>
  <c r="J123"/>
  <c r="E123"/>
  <c r="J122"/>
  <c r="E122"/>
  <c r="K121"/>
  <c r="J121"/>
  <c r="H121"/>
  <c r="AA121"/>
  <c r="Z121"/>
  <c r="Y121"/>
  <c r="X121"/>
  <c r="I121"/>
  <c r="F121"/>
  <c r="V121"/>
  <c r="T121"/>
  <c r="R121"/>
  <c r="U121"/>
  <c r="S121"/>
  <c r="Q121"/>
  <c r="E121"/>
  <c r="D121"/>
  <c r="B121"/>
  <c r="K120"/>
  <c r="J120"/>
  <c r="H120"/>
  <c r="AA120"/>
  <c r="Z120"/>
  <c r="X120"/>
  <c r="I120"/>
  <c r="Y120" s="1"/>
  <c r="F120"/>
  <c r="V120"/>
  <c r="T120"/>
  <c r="R120"/>
  <c r="U120"/>
  <c r="S120"/>
  <c r="Q120"/>
  <c r="E120"/>
  <c r="D120"/>
  <c r="B120"/>
  <c r="K119"/>
  <c r="J119"/>
  <c r="H119"/>
  <c r="AA119"/>
  <c r="Z119"/>
  <c r="Y119"/>
  <c r="X119"/>
  <c r="I119"/>
  <c r="F119"/>
  <c r="V119"/>
  <c r="T119"/>
  <c r="R119"/>
  <c r="U119"/>
  <c r="S119"/>
  <c r="Q119"/>
  <c r="E119"/>
  <c r="D119"/>
  <c r="B119"/>
  <c r="K118"/>
  <c r="J118"/>
  <c r="H118"/>
  <c r="AA118"/>
  <c r="Z118"/>
  <c r="X118"/>
  <c r="I118"/>
  <c r="Y118" s="1"/>
  <c r="F118"/>
  <c r="V118"/>
  <c r="T118"/>
  <c r="R118"/>
  <c r="U118"/>
  <c r="S118"/>
  <c r="Q118"/>
  <c r="E118"/>
  <c r="D118"/>
  <c r="B118"/>
  <c r="K117"/>
  <c r="J117"/>
  <c r="I117"/>
  <c r="H117"/>
  <c r="G117"/>
  <c r="F117"/>
  <c r="K116"/>
  <c r="J116"/>
  <c r="I116"/>
  <c r="H116"/>
  <c r="G116"/>
  <c r="F116"/>
  <c r="K115"/>
  <c r="J115"/>
  <c r="W115"/>
  <c r="I115"/>
  <c r="H115"/>
  <c r="G115"/>
  <c r="F115"/>
  <c r="V114"/>
  <c r="T114"/>
  <c r="K123" s="1"/>
  <c r="R114"/>
  <c r="K122" s="1"/>
  <c r="U114"/>
  <c r="S114"/>
  <c r="I123" s="1"/>
  <c r="Q114"/>
  <c r="E114"/>
  <c r="D114"/>
  <c r="B114"/>
  <c r="AA112"/>
  <c r="Z112"/>
  <c r="X112"/>
  <c r="H111"/>
  <c r="J111"/>
  <c r="I109"/>
  <c r="AB109" s="1"/>
  <c r="H109"/>
  <c r="G109"/>
  <c r="E109"/>
  <c r="J108"/>
  <c r="E108"/>
  <c r="J107"/>
  <c r="E107"/>
  <c r="K106"/>
  <c r="J106"/>
  <c r="H106"/>
  <c r="AA106"/>
  <c r="Z106"/>
  <c r="Y106"/>
  <c r="X106"/>
  <c r="I106"/>
  <c r="F106"/>
  <c r="V106"/>
  <c r="T106"/>
  <c r="R106"/>
  <c r="U106"/>
  <c r="S106"/>
  <c r="Q106"/>
  <c r="I107" s="1"/>
  <c r="O112" s="1"/>
  <c r="E106"/>
  <c r="D106"/>
  <c r="B106"/>
  <c r="K105"/>
  <c r="J105"/>
  <c r="I105"/>
  <c r="H105"/>
  <c r="G105"/>
  <c r="F105"/>
  <c r="K104"/>
  <c r="J104"/>
  <c r="W104"/>
  <c r="I104"/>
  <c r="H104"/>
  <c r="G104"/>
  <c r="F104"/>
  <c r="K103"/>
  <c r="J103"/>
  <c r="I103"/>
  <c r="H103"/>
  <c r="G103"/>
  <c r="F103"/>
  <c r="K102"/>
  <c r="J102"/>
  <c r="I102"/>
  <c r="H102"/>
  <c r="G102"/>
  <c r="F102"/>
  <c r="C101"/>
  <c r="V100"/>
  <c r="T100"/>
  <c r="R100"/>
  <c r="K107" s="1"/>
  <c r="U100"/>
  <c r="S100"/>
  <c r="I108" s="1"/>
  <c r="Q100"/>
  <c r="E100"/>
  <c r="D100"/>
  <c r="B100"/>
  <c r="AA98"/>
  <c r="Y98"/>
  <c r="X98"/>
  <c r="O98"/>
  <c r="K97"/>
  <c r="P98" s="1"/>
  <c r="J97"/>
  <c r="I97"/>
  <c r="Z98" s="1"/>
  <c r="H97"/>
  <c r="G97"/>
  <c r="F97"/>
  <c r="V97"/>
  <c r="T97"/>
  <c r="R97"/>
  <c r="U97"/>
  <c r="S97"/>
  <c r="Q97"/>
  <c r="E97"/>
  <c r="D97"/>
  <c r="B97"/>
  <c r="AA95"/>
  <c r="Z95"/>
  <c r="X95"/>
  <c r="H94"/>
  <c r="J94"/>
  <c r="I92"/>
  <c r="AB92" s="1"/>
  <c r="H92"/>
  <c r="G92"/>
  <c r="E92"/>
  <c r="J91"/>
  <c r="E91"/>
  <c r="J90"/>
  <c r="E90"/>
  <c r="K89"/>
  <c r="J89"/>
  <c r="H89"/>
  <c r="AA89"/>
  <c r="Z89"/>
  <c r="Y89"/>
  <c r="X89"/>
  <c r="I89"/>
  <c r="F89"/>
  <c r="V89"/>
  <c r="T89"/>
  <c r="R89"/>
  <c r="U89"/>
  <c r="S89"/>
  <c r="Q89"/>
  <c r="E89"/>
  <c r="D89"/>
  <c r="B89"/>
  <c r="K88"/>
  <c r="J88"/>
  <c r="H88"/>
  <c r="AA88"/>
  <c r="Z88"/>
  <c r="X88"/>
  <c r="I88"/>
  <c r="Y88" s="1"/>
  <c r="F88"/>
  <c r="V88"/>
  <c r="T88"/>
  <c r="R88"/>
  <c r="U88"/>
  <c r="S88"/>
  <c r="Q88"/>
  <c r="E88"/>
  <c r="D88"/>
  <c r="B88"/>
  <c r="K87"/>
  <c r="J87"/>
  <c r="H87"/>
  <c r="AA87"/>
  <c r="Z87"/>
  <c r="Y87"/>
  <c r="X87"/>
  <c r="I87"/>
  <c r="F87"/>
  <c r="V87"/>
  <c r="T87"/>
  <c r="R87"/>
  <c r="U87"/>
  <c r="S87"/>
  <c r="Q87"/>
  <c r="E87"/>
  <c r="D87"/>
  <c r="B87"/>
  <c r="K86"/>
  <c r="J86"/>
  <c r="H86"/>
  <c r="AA86"/>
  <c r="Z86"/>
  <c r="X86"/>
  <c r="I86"/>
  <c r="Y86" s="1"/>
  <c r="F86"/>
  <c r="V86"/>
  <c r="T86"/>
  <c r="K91" s="1"/>
  <c r="R86"/>
  <c r="U86"/>
  <c r="S86"/>
  <c r="Q86"/>
  <c r="I90" s="1"/>
  <c r="E86"/>
  <c r="D86"/>
  <c r="B86"/>
  <c r="K85"/>
  <c r="J85"/>
  <c r="I85"/>
  <c r="H85"/>
  <c r="G85"/>
  <c r="F85"/>
  <c r="K84"/>
  <c r="J84"/>
  <c r="I84"/>
  <c r="W84" s="1"/>
  <c r="H84"/>
  <c r="G84"/>
  <c r="F84"/>
  <c r="K83"/>
  <c r="J83"/>
  <c r="I83"/>
  <c r="H83"/>
  <c r="G83"/>
  <c r="F83"/>
  <c r="K82"/>
  <c r="J82"/>
  <c r="I82"/>
  <c r="H82"/>
  <c r="G82"/>
  <c r="F82"/>
  <c r="V81"/>
  <c r="T81"/>
  <c r="R81"/>
  <c r="K90" s="1"/>
  <c r="J93" s="1"/>
  <c r="U81"/>
  <c r="S81"/>
  <c r="I91" s="1"/>
  <c r="Q81"/>
  <c r="E81"/>
  <c r="D81"/>
  <c r="B81"/>
  <c r="AA79"/>
  <c r="Z79"/>
  <c r="X79"/>
  <c r="H78"/>
  <c r="J78"/>
  <c r="I76"/>
  <c r="AB76" s="1"/>
  <c r="H76"/>
  <c r="G76"/>
  <c r="E76"/>
  <c r="J75"/>
  <c r="E75"/>
  <c r="K74"/>
  <c r="J74"/>
  <c r="E74"/>
  <c r="K73"/>
  <c r="J73"/>
  <c r="H73"/>
  <c r="AA73"/>
  <c r="Z73"/>
  <c r="X73"/>
  <c r="I73"/>
  <c r="Y73" s="1"/>
  <c r="F73"/>
  <c r="V73"/>
  <c r="T73"/>
  <c r="R73"/>
  <c r="U73"/>
  <c r="S73"/>
  <c r="Q73"/>
  <c r="E73"/>
  <c r="D73"/>
  <c r="B73"/>
  <c r="K72"/>
  <c r="J72"/>
  <c r="H72"/>
  <c r="AA72"/>
  <c r="Z72"/>
  <c r="Y72"/>
  <c r="X72"/>
  <c r="I72"/>
  <c r="F72"/>
  <c r="V72"/>
  <c r="T72"/>
  <c r="R72"/>
  <c r="U72"/>
  <c r="S72"/>
  <c r="Q72"/>
  <c r="E72"/>
  <c r="D72"/>
  <c r="B72"/>
  <c r="K71"/>
  <c r="J71"/>
  <c r="H71"/>
  <c r="AA71"/>
  <c r="Z71"/>
  <c r="X71"/>
  <c r="I71"/>
  <c r="Y71" s="1"/>
  <c r="F71"/>
  <c r="V71"/>
  <c r="T71"/>
  <c r="R71"/>
  <c r="U71"/>
  <c r="S71"/>
  <c r="Q71"/>
  <c r="E71"/>
  <c r="D71"/>
  <c r="B71"/>
  <c r="K70"/>
  <c r="J70"/>
  <c r="H70"/>
  <c r="AA70"/>
  <c r="Z70"/>
  <c r="Y70"/>
  <c r="X70"/>
  <c r="I70"/>
  <c r="F70"/>
  <c r="V70"/>
  <c r="T70"/>
  <c r="R70"/>
  <c r="U70"/>
  <c r="S70"/>
  <c r="Q70"/>
  <c r="E70"/>
  <c r="D70"/>
  <c r="B70"/>
  <c r="K69"/>
  <c r="J69"/>
  <c r="I69"/>
  <c r="H69"/>
  <c r="G69"/>
  <c r="F69"/>
  <c r="K68"/>
  <c r="J68"/>
  <c r="I68"/>
  <c r="H68"/>
  <c r="G68"/>
  <c r="F68"/>
  <c r="K67"/>
  <c r="J77" s="1"/>
  <c r="J67"/>
  <c r="I67"/>
  <c r="H67"/>
  <c r="G67"/>
  <c r="F67"/>
  <c r="V66"/>
  <c r="T66"/>
  <c r="K75" s="1"/>
  <c r="R66"/>
  <c r="U66"/>
  <c r="S66"/>
  <c r="I75" s="1"/>
  <c r="Q66"/>
  <c r="I74" s="1"/>
  <c r="E66"/>
  <c r="D66"/>
  <c r="B66"/>
  <c r="AA64"/>
  <c r="Y64"/>
  <c r="X64"/>
  <c r="O64"/>
  <c r="K63"/>
  <c r="P64" s="1"/>
  <c r="J63"/>
  <c r="I63"/>
  <c r="Z64" s="1"/>
  <c r="H63"/>
  <c r="G63"/>
  <c r="F63"/>
  <c r="V63"/>
  <c r="T63"/>
  <c r="R63"/>
  <c r="U63"/>
  <c r="S63"/>
  <c r="Q63"/>
  <c r="E63"/>
  <c r="D63"/>
  <c r="B63"/>
  <c r="AA61"/>
  <c r="Z61"/>
  <c r="X61"/>
  <c r="H60"/>
  <c r="J60"/>
  <c r="I58"/>
  <c r="AB58" s="1"/>
  <c r="H58"/>
  <c r="G58"/>
  <c r="E58"/>
  <c r="J57"/>
  <c r="E57"/>
  <c r="J56"/>
  <c r="E56"/>
  <c r="K55"/>
  <c r="J55"/>
  <c r="H55"/>
  <c r="AA55"/>
  <c r="Z55"/>
  <c r="Y55"/>
  <c r="X55"/>
  <c r="I55"/>
  <c r="F55"/>
  <c r="V55"/>
  <c r="T55"/>
  <c r="R55"/>
  <c r="U55"/>
  <c r="S55"/>
  <c r="Q55"/>
  <c r="I56" s="1"/>
  <c r="E55"/>
  <c r="D55"/>
  <c r="B55"/>
  <c r="K54"/>
  <c r="J54"/>
  <c r="H54"/>
  <c r="AA54"/>
  <c r="Z54"/>
  <c r="X54"/>
  <c r="I54"/>
  <c r="Y54" s="1"/>
  <c r="F54"/>
  <c r="V54"/>
  <c r="T54"/>
  <c r="K57" s="1"/>
  <c r="R54"/>
  <c r="U54"/>
  <c r="S54"/>
  <c r="Q54"/>
  <c r="E54"/>
  <c r="D54"/>
  <c r="B54"/>
  <c r="K53"/>
  <c r="J53"/>
  <c r="I53"/>
  <c r="H53"/>
  <c r="G53"/>
  <c r="F53"/>
  <c r="K52"/>
  <c r="J52"/>
  <c r="I52"/>
  <c r="W52" s="1"/>
  <c r="H52"/>
  <c r="G52"/>
  <c r="F52"/>
  <c r="K51"/>
  <c r="P61" s="1"/>
  <c r="J51"/>
  <c r="I51"/>
  <c r="H51"/>
  <c r="G51"/>
  <c r="F51"/>
  <c r="K50"/>
  <c r="J50"/>
  <c r="I50"/>
  <c r="H50"/>
  <c r="G50"/>
  <c r="F50"/>
  <c r="V49"/>
  <c r="T49"/>
  <c r="R49"/>
  <c r="K56" s="1"/>
  <c r="U49"/>
  <c r="S49"/>
  <c r="I57" s="1"/>
  <c r="Q49"/>
  <c r="E49"/>
  <c r="D49"/>
  <c r="B49"/>
  <c r="AA47"/>
  <c r="Z47"/>
  <c r="X47"/>
  <c r="H46"/>
  <c r="J46"/>
  <c r="I44"/>
  <c r="AB44" s="1"/>
  <c r="I27" s="1"/>
  <c r="H44"/>
  <c r="G44"/>
  <c r="E44"/>
  <c r="K43"/>
  <c r="J43"/>
  <c r="I43"/>
  <c r="E43"/>
  <c r="K42"/>
  <c r="J42"/>
  <c r="E42"/>
  <c r="K41"/>
  <c r="P47" s="1"/>
  <c r="J41"/>
  <c r="I41"/>
  <c r="H41"/>
  <c r="G41"/>
  <c r="F41"/>
  <c r="K40"/>
  <c r="J45" s="1"/>
  <c r="J40"/>
  <c r="W40"/>
  <c r="I40"/>
  <c r="O47" s="1"/>
  <c r="H40"/>
  <c r="G40"/>
  <c r="F40"/>
  <c r="V39"/>
  <c r="T39"/>
  <c r="R39"/>
  <c r="U39"/>
  <c r="S39"/>
  <c r="Q39"/>
  <c r="I42" s="1"/>
  <c r="E39"/>
  <c r="D39"/>
  <c r="B39"/>
  <c r="A38"/>
  <c r="A36"/>
  <c r="A13"/>
  <c r="G6"/>
  <c r="B6"/>
  <c r="A1"/>
  <c r="A1" i="3"/>
  <c r="Y1"/>
  <c r="CX1" s="1"/>
  <c r="CY1"/>
  <c r="CZ1"/>
  <c r="DB1" s="1"/>
  <c r="DA1"/>
  <c r="DC1"/>
  <c r="A2"/>
  <c r="Y2"/>
  <c r="CX2"/>
  <c r="DI2" s="1"/>
  <c r="CY2"/>
  <c r="CZ2"/>
  <c r="DB2" s="1"/>
  <c r="DA2"/>
  <c r="DC2"/>
  <c r="DF2"/>
  <c r="DH2"/>
  <c r="DJ2"/>
  <c r="D12" i="1"/>
  <c r="E18"/>
  <c r="Z18"/>
  <c r="AA18"/>
  <c r="AB18"/>
  <c r="AC18"/>
  <c r="AD18"/>
  <c r="AE18"/>
  <c r="AF18"/>
  <c r="AG18"/>
  <c r="AH18"/>
  <c r="AI18"/>
  <c r="AJ18"/>
  <c r="AK18"/>
  <c r="AL18"/>
  <c r="AM18"/>
  <c r="AN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/>
  <c r="CW18"/>
  <c r="CX18"/>
  <c r="CY18"/>
  <c r="CZ18"/>
  <c r="DA18"/>
  <c r="DB18"/>
  <c r="DC18"/>
  <c r="DD18"/>
  <c r="DE18"/>
  <c r="DF18"/>
  <c r="DG18"/>
  <c r="DH18"/>
  <c r="DI18"/>
  <c r="DJ18"/>
  <c r="DK18"/>
  <c r="DL18"/>
  <c r="DM18"/>
  <c r="DN18"/>
  <c r="DO18"/>
  <c r="DP18"/>
  <c r="DQ18"/>
  <c r="DR18"/>
  <c r="DS18"/>
  <c r="DT18"/>
  <c r="DU18"/>
  <c r="DV18"/>
  <c r="DW18"/>
  <c r="DX18"/>
  <c r="DY18"/>
  <c r="DZ18"/>
  <c r="EA18"/>
  <c r="EB18"/>
  <c r="EC18"/>
  <c r="ED18"/>
  <c r="EE18"/>
  <c r="EF18"/>
  <c r="EG18"/>
  <c r="EH18"/>
  <c r="EI18"/>
  <c r="EJ18"/>
  <c r="EK18"/>
  <c r="EL18"/>
  <c r="EM18"/>
  <c r="EN18"/>
  <c r="EO18"/>
  <c r="EP18"/>
  <c r="EQ18"/>
  <c r="ER18"/>
  <c r="ES18"/>
  <c r="ET18"/>
  <c r="EU18"/>
  <c r="EV18"/>
  <c r="EW18"/>
  <c r="EX18"/>
  <c r="EY18"/>
  <c r="EZ18"/>
  <c r="FA18"/>
  <c r="FB18"/>
  <c r="FC18"/>
  <c r="FD18"/>
  <c r="FE18"/>
  <c r="FF18"/>
  <c r="FG18"/>
  <c r="FH18"/>
  <c r="FI18"/>
  <c r="FJ18"/>
  <c r="FK18"/>
  <c r="FL18"/>
  <c r="FM18"/>
  <c r="FN18"/>
  <c r="FO18"/>
  <c r="FP18"/>
  <c r="FQ18"/>
  <c r="FR18"/>
  <c r="FS18"/>
  <c r="FT18"/>
  <c r="FU18"/>
  <c r="FV18"/>
  <c r="FW18"/>
  <c r="FX18"/>
  <c r="FY18"/>
  <c r="FZ18"/>
  <c r="GA18"/>
  <c r="GB18"/>
  <c r="GC18"/>
  <c r="GD18"/>
  <c r="GE18"/>
  <c r="GF18"/>
  <c r="GG18"/>
  <c r="GH18"/>
  <c r="GI18"/>
  <c r="GJ18"/>
  <c r="GK18"/>
  <c r="GL18"/>
  <c r="GM18"/>
  <c r="GN18"/>
  <c r="GO18"/>
  <c r="GP18"/>
  <c r="GQ18"/>
  <c r="GR18"/>
  <c r="GS18"/>
  <c r="GT18"/>
  <c r="GU18"/>
  <c r="GV18"/>
  <c r="GW18"/>
  <c r="GX18"/>
  <c r="D20"/>
  <c r="E22"/>
  <c r="Z22"/>
  <c r="AA22"/>
  <c r="AB22"/>
  <c r="AC22"/>
  <c r="AD22"/>
  <c r="AE22"/>
  <c r="AF22"/>
  <c r="AG22"/>
  <c r="AH22"/>
  <c r="AI22"/>
  <c r="AJ22"/>
  <c r="AK22"/>
  <c r="AL22"/>
  <c r="AM22"/>
  <c r="AN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GJ22"/>
  <c r="GK22"/>
  <c r="GL22"/>
  <c r="GM22"/>
  <c r="GN22"/>
  <c r="GO22"/>
  <c r="GP22"/>
  <c r="GQ22"/>
  <c r="GR22"/>
  <c r="GS22"/>
  <c r="GT22"/>
  <c r="GU22"/>
  <c r="GV22"/>
  <c r="GW22"/>
  <c r="GX22"/>
  <c r="D24"/>
  <c r="E26"/>
  <c r="Z26"/>
  <c r="AA26"/>
  <c r="AM26"/>
  <c r="AN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CN26"/>
  <c r="CO26"/>
  <c r="CP26"/>
  <c r="CQ26"/>
  <c r="CR26"/>
  <c r="CS26"/>
  <c r="CT26"/>
  <c r="CU26"/>
  <c r="CV26"/>
  <c r="CW26"/>
  <c r="CX26"/>
  <c r="CY26"/>
  <c r="CZ26"/>
  <c r="DA26"/>
  <c r="DB26"/>
  <c r="DC26"/>
  <c r="DD26"/>
  <c r="DE26"/>
  <c r="DF26"/>
  <c r="DG26"/>
  <c r="DH26"/>
  <c r="DI26"/>
  <c r="DJ26"/>
  <c r="DK26"/>
  <c r="DL26"/>
  <c r="DM26"/>
  <c r="DN26"/>
  <c r="DO26"/>
  <c r="DP26"/>
  <c r="DQ26"/>
  <c r="DR26"/>
  <c r="DS26"/>
  <c r="DT26"/>
  <c r="DU26"/>
  <c r="DV26"/>
  <c r="DW26"/>
  <c r="DX26"/>
  <c r="DY26"/>
  <c r="DZ26"/>
  <c r="EA26"/>
  <c r="EB26"/>
  <c r="EC26"/>
  <c r="ED26"/>
  <c r="EE26"/>
  <c r="EF26"/>
  <c r="EG26"/>
  <c r="EH26"/>
  <c r="EI26"/>
  <c r="EJ26"/>
  <c r="EK26"/>
  <c r="EL26"/>
  <c r="EM26"/>
  <c r="EN26"/>
  <c r="EO26"/>
  <c r="EP26"/>
  <c r="EQ26"/>
  <c r="ER26"/>
  <c r="ES26"/>
  <c r="ET26"/>
  <c r="EU26"/>
  <c r="EV26"/>
  <c r="EW26"/>
  <c r="EX26"/>
  <c r="EY26"/>
  <c r="EZ26"/>
  <c r="FA26"/>
  <c r="FB26"/>
  <c r="FC26"/>
  <c r="FD26"/>
  <c r="FE26"/>
  <c r="FF26"/>
  <c r="FG26"/>
  <c r="FH26"/>
  <c r="FI26"/>
  <c r="FJ26"/>
  <c r="FK26"/>
  <c r="FL26"/>
  <c r="FM26"/>
  <c r="FN26"/>
  <c r="FO26"/>
  <c r="FP26"/>
  <c r="FQ26"/>
  <c r="FR26"/>
  <c r="FS26"/>
  <c r="FT26"/>
  <c r="FU26"/>
  <c r="FV26"/>
  <c r="FW26"/>
  <c r="FX26"/>
  <c r="FY26"/>
  <c r="FZ26"/>
  <c r="GA26"/>
  <c r="GB26"/>
  <c r="GC26"/>
  <c r="GD26"/>
  <c r="GE26"/>
  <c r="GF26"/>
  <c r="GG26"/>
  <c r="GH26"/>
  <c r="GI26"/>
  <c r="GJ26"/>
  <c r="GK26"/>
  <c r="GL26"/>
  <c r="GM26"/>
  <c r="GN26"/>
  <c r="GO26"/>
  <c r="GP26"/>
  <c r="GQ26"/>
  <c r="GR26"/>
  <c r="GS26"/>
  <c r="GT26"/>
  <c r="GU26"/>
  <c r="GV26"/>
  <c r="GW26"/>
  <c r="GX26"/>
  <c r="R28"/>
  <c r="AB28"/>
  <c r="AC28"/>
  <c r="P28" s="1"/>
  <c r="AE28"/>
  <c r="AD28" s="1"/>
  <c r="AF28"/>
  <c r="AG28"/>
  <c r="AH28"/>
  <c r="AI28"/>
  <c r="AJ28"/>
  <c r="CX28" s="1"/>
  <c r="W28" s="1"/>
  <c r="CQ28"/>
  <c r="CR28"/>
  <c r="CS28"/>
  <c r="CU28"/>
  <c r="T28" s="1"/>
  <c r="CV28"/>
  <c r="U28" s="1"/>
  <c r="CW28"/>
  <c r="V28" s="1"/>
  <c r="GL28"/>
  <c r="GN28"/>
  <c r="GP28"/>
  <c r="GV28"/>
  <c r="HC28"/>
  <c r="GX28" s="1"/>
  <c r="I29"/>
  <c r="P29" s="1"/>
  <c r="U29"/>
  <c r="AC29"/>
  <c r="AE29"/>
  <c r="AD29" s="1"/>
  <c r="AB29" s="1"/>
  <c r="AF29"/>
  <c r="AG29"/>
  <c r="AH29"/>
  <c r="AI29"/>
  <c r="AJ29"/>
  <c r="CX29" s="1"/>
  <c r="CQ29"/>
  <c r="CR29"/>
  <c r="CS29"/>
  <c r="CU29"/>
  <c r="CV29"/>
  <c r="CW29"/>
  <c r="V29" s="1"/>
  <c r="GL29"/>
  <c r="GN29"/>
  <c r="GP29"/>
  <c r="GV29"/>
  <c r="HC29"/>
  <c r="I30"/>
  <c r="V30"/>
  <c r="AC30"/>
  <c r="AE30"/>
  <c r="AF30"/>
  <c r="AG30"/>
  <c r="AH30"/>
  <c r="AI30"/>
  <c r="CW30" s="1"/>
  <c r="AJ30"/>
  <c r="CX30" s="1"/>
  <c r="CQ30"/>
  <c r="CS30"/>
  <c r="CU30"/>
  <c r="CV30"/>
  <c r="U30" s="1"/>
  <c r="GL30"/>
  <c r="GN30"/>
  <c r="GP30"/>
  <c r="GV30"/>
  <c r="HC30"/>
  <c r="I31"/>
  <c r="P31" s="1"/>
  <c r="Q31"/>
  <c r="R31"/>
  <c r="AC31"/>
  <c r="AE31"/>
  <c r="AD31" s="1"/>
  <c r="AF31"/>
  <c r="AG31"/>
  <c r="AH31"/>
  <c r="AI31"/>
  <c r="AJ31"/>
  <c r="CX31" s="1"/>
  <c r="W31" s="1"/>
  <c r="CQ31"/>
  <c r="CR31"/>
  <c r="CS31"/>
  <c r="CU31"/>
  <c r="T31" s="1"/>
  <c r="CV31"/>
  <c r="U31" s="1"/>
  <c r="CW31"/>
  <c r="V31" s="1"/>
  <c r="GL31"/>
  <c r="GN31"/>
  <c r="GP31"/>
  <c r="GV31"/>
  <c r="HC31"/>
  <c r="GX31" s="1"/>
  <c r="I32"/>
  <c r="P32" s="1"/>
  <c r="R32"/>
  <c r="AB32"/>
  <c r="AC32"/>
  <c r="AE32"/>
  <c r="AD32" s="1"/>
  <c r="AF32"/>
  <c r="AG32"/>
  <c r="AH32"/>
  <c r="AI32"/>
  <c r="AJ32"/>
  <c r="CX32" s="1"/>
  <c r="W32" s="1"/>
  <c r="CQ32"/>
  <c r="CR32"/>
  <c r="CS32"/>
  <c r="CU32"/>
  <c r="T32" s="1"/>
  <c r="CV32"/>
  <c r="U32" s="1"/>
  <c r="CW32"/>
  <c r="V32" s="1"/>
  <c r="GL32"/>
  <c r="GN32"/>
  <c r="GP32"/>
  <c r="GV32"/>
  <c r="HC32"/>
  <c r="GX32" s="1"/>
  <c r="C33"/>
  <c r="P33"/>
  <c r="R33"/>
  <c r="T33"/>
  <c r="AC33"/>
  <c r="AD33"/>
  <c r="AB33" s="1"/>
  <c r="AE33"/>
  <c r="Q33" s="1"/>
  <c r="AF33"/>
  <c r="AG33"/>
  <c r="AH33"/>
  <c r="CV33" s="1"/>
  <c r="U33" s="1"/>
  <c r="AI33"/>
  <c r="AJ33"/>
  <c r="CX33" s="1"/>
  <c r="W33" s="1"/>
  <c r="CQ33"/>
  <c r="CR33"/>
  <c r="CS33"/>
  <c r="CU33"/>
  <c r="CW33"/>
  <c r="V33" s="1"/>
  <c r="GL33"/>
  <c r="GN33"/>
  <c r="GP33"/>
  <c r="GV33"/>
  <c r="GX33"/>
  <c r="HC33"/>
  <c r="I34"/>
  <c r="P34" s="1"/>
  <c r="Q34"/>
  <c r="R34"/>
  <c r="V34"/>
  <c r="AC34"/>
  <c r="AD34"/>
  <c r="AB34" s="1"/>
  <c r="AE34"/>
  <c r="AF34"/>
  <c r="AG34"/>
  <c r="AH34"/>
  <c r="AI34"/>
  <c r="AJ34"/>
  <c r="CX34" s="1"/>
  <c r="W34" s="1"/>
  <c r="CQ34"/>
  <c r="CR34"/>
  <c r="CS34"/>
  <c r="CU34"/>
  <c r="T34" s="1"/>
  <c r="CV34"/>
  <c r="U34" s="1"/>
  <c r="CW34"/>
  <c r="GL34"/>
  <c r="GN34"/>
  <c r="GP34"/>
  <c r="GV34"/>
  <c r="GX34"/>
  <c r="HC34"/>
  <c r="I35"/>
  <c r="P35"/>
  <c r="Q35"/>
  <c r="R35"/>
  <c r="AC35"/>
  <c r="CQ35" s="1"/>
  <c r="AD35"/>
  <c r="AE35"/>
  <c r="AF35"/>
  <c r="AG35"/>
  <c r="CU35" s="1"/>
  <c r="T35" s="1"/>
  <c r="AH35"/>
  <c r="CV35" s="1"/>
  <c r="U35" s="1"/>
  <c r="AI35"/>
  <c r="AJ35"/>
  <c r="CX35" s="1"/>
  <c r="W35" s="1"/>
  <c r="CR35"/>
  <c r="CS35"/>
  <c r="CW35"/>
  <c r="V35" s="1"/>
  <c r="GL35"/>
  <c r="GN35"/>
  <c r="GP35"/>
  <c r="GV35"/>
  <c r="HC35" s="1"/>
  <c r="GX35" s="1"/>
  <c r="Q36"/>
  <c r="S36"/>
  <c r="Y36"/>
  <c r="AC36"/>
  <c r="AE36"/>
  <c r="AF36"/>
  <c r="AG36"/>
  <c r="CU36" s="1"/>
  <c r="T36" s="1"/>
  <c r="AH36"/>
  <c r="AI36"/>
  <c r="CW36" s="1"/>
  <c r="V36" s="1"/>
  <c r="AJ36"/>
  <c r="CR36"/>
  <c r="CT36"/>
  <c r="CV36"/>
  <c r="U36" s="1"/>
  <c r="CX36"/>
  <c r="W36" s="1"/>
  <c r="GL36"/>
  <c r="GN36"/>
  <c r="GO36"/>
  <c r="GP36"/>
  <c r="GV36"/>
  <c r="HC36" s="1"/>
  <c r="GX36"/>
  <c r="Q37"/>
  <c r="S37"/>
  <c r="W37"/>
  <c r="Y37"/>
  <c r="AC37"/>
  <c r="AE37"/>
  <c r="AF37"/>
  <c r="AG37"/>
  <c r="CU37" s="1"/>
  <c r="T37" s="1"/>
  <c r="AH37"/>
  <c r="AI37"/>
  <c r="CW37" s="1"/>
  <c r="V37" s="1"/>
  <c r="AJ37"/>
  <c r="CT37"/>
  <c r="CV37"/>
  <c r="U37" s="1"/>
  <c r="CX37"/>
  <c r="GL37"/>
  <c r="GN37"/>
  <c r="GP37"/>
  <c r="GV37"/>
  <c r="HC37" s="1"/>
  <c r="GX37" s="1"/>
  <c r="I38"/>
  <c r="Q38"/>
  <c r="S38"/>
  <c r="AC38"/>
  <c r="AE38"/>
  <c r="AF38"/>
  <c r="AG38"/>
  <c r="CU38" s="1"/>
  <c r="T38" s="1"/>
  <c r="AH38"/>
  <c r="AI38"/>
  <c r="CW38" s="1"/>
  <c r="V38" s="1"/>
  <c r="AJ38"/>
  <c r="CR38"/>
  <c r="CT38"/>
  <c r="CV38"/>
  <c r="U38" s="1"/>
  <c r="CX38"/>
  <c r="W38" s="1"/>
  <c r="GL38"/>
  <c r="GN38"/>
  <c r="GP38"/>
  <c r="GV38"/>
  <c r="HC38"/>
  <c r="GX38" s="1"/>
  <c r="I39"/>
  <c r="S39"/>
  <c r="U39"/>
  <c r="AC39"/>
  <c r="AE39"/>
  <c r="AF39"/>
  <c r="AG39"/>
  <c r="CU39" s="1"/>
  <c r="T39" s="1"/>
  <c r="AH39"/>
  <c r="AI39"/>
  <c r="CW39" s="1"/>
  <c r="V39" s="1"/>
  <c r="AJ39"/>
  <c r="CR39"/>
  <c r="CT39"/>
  <c r="CV39"/>
  <c r="CX39"/>
  <c r="W39" s="1"/>
  <c r="CZ39"/>
  <c r="GL39"/>
  <c r="GN39"/>
  <c r="GP39"/>
  <c r="GV39"/>
  <c r="HC39"/>
  <c r="GX39" s="1"/>
  <c r="I40"/>
  <c r="S40"/>
  <c r="W40"/>
  <c r="AC40"/>
  <c r="AE40"/>
  <c r="AF40"/>
  <c r="AG40"/>
  <c r="CU40" s="1"/>
  <c r="T40" s="1"/>
  <c r="AH40"/>
  <c r="AI40"/>
  <c r="CW40" s="1"/>
  <c r="V40" s="1"/>
  <c r="AJ40"/>
  <c r="CT40"/>
  <c r="CV40"/>
  <c r="U40" s="1"/>
  <c r="CX40"/>
  <c r="GL40"/>
  <c r="GN40"/>
  <c r="GP40"/>
  <c r="GV40"/>
  <c r="HC40" s="1"/>
  <c r="GX40" s="1"/>
  <c r="I41"/>
  <c r="Q41"/>
  <c r="S41"/>
  <c r="Y41"/>
  <c r="AC41"/>
  <c r="AE41"/>
  <c r="AF41"/>
  <c r="AG41"/>
  <c r="CU41" s="1"/>
  <c r="T41" s="1"/>
  <c r="AH41"/>
  <c r="AI41"/>
  <c r="CW41" s="1"/>
  <c r="V41" s="1"/>
  <c r="AJ41"/>
  <c r="CT41"/>
  <c r="CV41"/>
  <c r="U41" s="1"/>
  <c r="CX41"/>
  <c r="W41" s="1"/>
  <c r="GL41"/>
  <c r="GN41"/>
  <c r="GP41"/>
  <c r="GV41"/>
  <c r="HC41"/>
  <c r="GX41" s="1"/>
  <c r="P42"/>
  <c r="R42"/>
  <c r="T42"/>
  <c r="V42"/>
  <c r="AC42"/>
  <c r="AD42"/>
  <c r="AB42" s="1"/>
  <c r="AE42"/>
  <c r="Q42" s="1"/>
  <c r="AF42"/>
  <c r="AG42"/>
  <c r="AH42"/>
  <c r="CV42" s="1"/>
  <c r="U42" s="1"/>
  <c r="AI42"/>
  <c r="AJ42"/>
  <c r="CX42" s="1"/>
  <c r="W42" s="1"/>
  <c r="CQ42"/>
  <c r="CR42"/>
  <c r="CS42"/>
  <c r="CU42"/>
  <c r="CW42"/>
  <c r="GL42"/>
  <c r="GN42"/>
  <c r="GP42"/>
  <c r="GV42"/>
  <c r="HC42"/>
  <c r="GX42" s="1"/>
  <c r="I43"/>
  <c r="U43"/>
  <c r="AC43"/>
  <c r="AE43"/>
  <c r="AF43"/>
  <c r="AG43"/>
  <c r="AH43"/>
  <c r="CV43" s="1"/>
  <c r="AI43"/>
  <c r="CW43" s="1"/>
  <c r="V43" s="1"/>
  <c r="AJ43"/>
  <c r="CX43" s="1"/>
  <c r="W43" s="1"/>
  <c r="CQ43"/>
  <c r="CU43"/>
  <c r="GL43"/>
  <c r="GN43"/>
  <c r="GP43"/>
  <c r="GV43"/>
  <c r="HC43"/>
  <c r="GX43" s="1"/>
  <c r="I44"/>
  <c r="AC44"/>
  <c r="AE44"/>
  <c r="AF44"/>
  <c r="AG44"/>
  <c r="AH44"/>
  <c r="AI44"/>
  <c r="AJ44"/>
  <c r="CQ44"/>
  <c r="CS44"/>
  <c r="CT44"/>
  <c r="CU44"/>
  <c r="CV44"/>
  <c r="CW44"/>
  <c r="V44" s="1"/>
  <c r="CX44"/>
  <c r="GL44"/>
  <c r="GN44"/>
  <c r="GP44"/>
  <c r="GV44"/>
  <c r="HC44"/>
  <c r="GX44" s="1"/>
  <c r="I45"/>
  <c r="AC45"/>
  <c r="AE45"/>
  <c r="AF45"/>
  <c r="AG45"/>
  <c r="AH45"/>
  <c r="AI45"/>
  <c r="CW45" s="1"/>
  <c r="V45" s="1"/>
  <c r="AJ45"/>
  <c r="CX45" s="1"/>
  <c r="CQ45"/>
  <c r="CU45"/>
  <c r="CV45"/>
  <c r="GL45"/>
  <c r="GN45"/>
  <c r="GP45"/>
  <c r="GV45"/>
  <c r="HC45"/>
  <c r="I46"/>
  <c r="AC46"/>
  <c r="AE46"/>
  <c r="AF46"/>
  <c r="AG46"/>
  <c r="AH46"/>
  <c r="AI46"/>
  <c r="CW46" s="1"/>
  <c r="V46" s="1"/>
  <c r="AJ46"/>
  <c r="CX46" s="1"/>
  <c r="CQ46"/>
  <c r="CU46"/>
  <c r="T46" s="1"/>
  <c r="CV46"/>
  <c r="GL46"/>
  <c r="GN46"/>
  <c r="GP46"/>
  <c r="GV46"/>
  <c r="HC46"/>
  <c r="R47"/>
  <c r="S47"/>
  <c r="AC47"/>
  <c r="AE47"/>
  <c r="AD47" s="1"/>
  <c r="AF47"/>
  <c r="AG47"/>
  <c r="CU47" s="1"/>
  <c r="T47" s="1"/>
  <c r="AH47"/>
  <c r="AI47"/>
  <c r="AJ47"/>
  <c r="CX47" s="1"/>
  <c r="W47" s="1"/>
  <c r="CR47"/>
  <c r="CS47"/>
  <c r="CT47"/>
  <c r="CV47"/>
  <c r="U47" s="1"/>
  <c r="CW47"/>
  <c r="V47" s="1"/>
  <c r="GL47"/>
  <c r="GN47"/>
  <c r="GO47"/>
  <c r="GP47"/>
  <c r="GV47"/>
  <c r="HC47"/>
  <c r="GX47" s="1"/>
  <c r="I48"/>
  <c r="K48"/>
  <c r="P48"/>
  <c r="AC48"/>
  <c r="AE48"/>
  <c r="AF48"/>
  <c r="AG48"/>
  <c r="AH48"/>
  <c r="CV48" s="1"/>
  <c r="U48" s="1"/>
  <c r="AI48"/>
  <c r="CW48" s="1"/>
  <c r="V48" s="1"/>
  <c r="AJ48"/>
  <c r="CQ48"/>
  <c r="CT48"/>
  <c r="CU48"/>
  <c r="T48" s="1"/>
  <c r="CX48"/>
  <c r="W48" s="1"/>
  <c r="GL48"/>
  <c r="GN48"/>
  <c r="GP48"/>
  <c r="GV48"/>
  <c r="HC48"/>
  <c r="GX48" s="1"/>
  <c r="AC49"/>
  <c r="AE49"/>
  <c r="AF49"/>
  <c r="AG49"/>
  <c r="AH49"/>
  <c r="CV49" s="1"/>
  <c r="AI49"/>
  <c r="CW49" s="1"/>
  <c r="AJ49"/>
  <c r="CQ49"/>
  <c r="CT49"/>
  <c r="CU49"/>
  <c r="CX49"/>
  <c r="GL49"/>
  <c r="GN49"/>
  <c r="GP49"/>
  <c r="GV49"/>
  <c r="HC49"/>
  <c r="P50"/>
  <c r="R50"/>
  <c r="T50"/>
  <c r="AC50"/>
  <c r="AD50"/>
  <c r="AB50" s="1"/>
  <c r="AE50"/>
  <c r="Q50" s="1"/>
  <c r="AF50"/>
  <c r="AG50"/>
  <c r="AH50"/>
  <c r="CV50" s="1"/>
  <c r="U50" s="1"/>
  <c r="AI50"/>
  <c r="AJ50"/>
  <c r="CX50" s="1"/>
  <c r="W50" s="1"/>
  <c r="CQ50"/>
  <c r="CR50"/>
  <c r="CS50"/>
  <c r="CU50"/>
  <c r="CW50"/>
  <c r="V50" s="1"/>
  <c r="GL50"/>
  <c r="GN50"/>
  <c r="GP50"/>
  <c r="GV50"/>
  <c r="HC50"/>
  <c r="GX50" s="1"/>
  <c r="I51"/>
  <c r="P51"/>
  <c r="Q51"/>
  <c r="R51"/>
  <c r="AC51"/>
  <c r="AD51"/>
  <c r="AB51" s="1"/>
  <c r="AE51"/>
  <c r="AF51"/>
  <c r="AG51"/>
  <c r="AH51"/>
  <c r="CV51" s="1"/>
  <c r="U51" s="1"/>
  <c r="AI51"/>
  <c r="AJ51"/>
  <c r="CX51" s="1"/>
  <c r="W51" s="1"/>
  <c r="CQ51"/>
  <c r="CR51"/>
  <c r="CS51"/>
  <c r="CU51"/>
  <c r="T51" s="1"/>
  <c r="CW51"/>
  <c r="V51" s="1"/>
  <c r="GL51"/>
  <c r="GN51"/>
  <c r="GP51"/>
  <c r="GV51"/>
  <c r="HC51" s="1"/>
  <c r="GX51" s="1"/>
  <c r="I52"/>
  <c r="Q52" s="1"/>
  <c r="P52"/>
  <c r="CP52" s="1"/>
  <c r="O52" s="1"/>
  <c r="R52"/>
  <c r="S52"/>
  <c r="W52"/>
  <c r="AC52"/>
  <c r="AD52"/>
  <c r="AE52"/>
  <c r="AF52"/>
  <c r="AG52"/>
  <c r="AH52"/>
  <c r="CV52" s="1"/>
  <c r="U52" s="1"/>
  <c r="AI52"/>
  <c r="AJ52"/>
  <c r="CQ52"/>
  <c r="CR52"/>
  <c r="CS52"/>
  <c r="CT52"/>
  <c r="CU52"/>
  <c r="T52" s="1"/>
  <c r="CW52"/>
  <c r="V52" s="1"/>
  <c r="CX52"/>
  <c r="CY52"/>
  <c r="GL52"/>
  <c r="GN52"/>
  <c r="GP52"/>
  <c r="GV52"/>
  <c r="HC52" s="1"/>
  <c r="GX52"/>
  <c r="I53"/>
  <c r="Q53" s="1"/>
  <c r="P53"/>
  <c r="CP53" s="1"/>
  <c r="O53" s="1"/>
  <c r="R53"/>
  <c r="S53"/>
  <c r="X53"/>
  <c r="AC53"/>
  <c r="AD53"/>
  <c r="AE53"/>
  <c r="AF53"/>
  <c r="AG53"/>
  <c r="AH53"/>
  <c r="CV53" s="1"/>
  <c r="U53" s="1"/>
  <c r="AI53"/>
  <c r="AJ53"/>
  <c r="CQ53"/>
  <c r="CR53"/>
  <c r="CS53"/>
  <c r="CT53"/>
  <c r="CU53"/>
  <c r="T53" s="1"/>
  <c r="CW53"/>
  <c r="V53" s="1"/>
  <c r="CX53"/>
  <c r="W53" s="1"/>
  <c r="CY53"/>
  <c r="GL53"/>
  <c r="GN53"/>
  <c r="GP53"/>
  <c r="GV53"/>
  <c r="HC53" s="1"/>
  <c r="GX53"/>
  <c r="I54"/>
  <c r="Q54" s="1"/>
  <c r="R54"/>
  <c r="S54"/>
  <c r="AC54"/>
  <c r="AD54"/>
  <c r="AE54"/>
  <c r="AF54"/>
  <c r="AG54"/>
  <c r="CU54" s="1"/>
  <c r="T54" s="1"/>
  <c r="AH54"/>
  <c r="CV54" s="1"/>
  <c r="U54" s="1"/>
  <c r="AI54"/>
  <c r="AJ54"/>
  <c r="CR54"/>
  <c r="CS54"/>
  <c r="CT54"/>
  <c r="CW54"/>
  <c r="V54" s="1"/>
  <c r="CX54"/>
  <c r="W54" s="1"/>
  <c r="GL54"/>
  <c r="GN54"/>
  <c r="GP54"/>
  <c r="GV54"/>
  <c r="HC54" s="1"/>
  <c r="GX54" s="1"/>
  <c r="P55"/>
  <c r="S55"/>
  <c r="X55"/>
  <c r="AC55"/>
  <c r="AE55"/>
  <c r="AF55"/>
  <c r="AG55"/>
  <c r="AH55"/>
  <c r="CV55" s="1"/>
  <c r="U55" s="1"/>
  <c r="AI55"/>
  <c r="CW55" s="1"/>
  <c r="V55" s="1"/>
  <c r="AJ55"/>
  <c r="CQ55"/>
  <c r="CR55"/>
  <c r="CT55"/>
  <c r="CU55"/>
  <c r="T55" s="1"/>
  <c r="CX55"/>
  <c r="W55" s="1"/>
  <c r="CY55"/>
  <c r="GL55"/>
  <c r="GN55"/>
  <c r="GO55"/>
  <c r="GP55"/>
  <c r="GV55"/>
  <c r="HC55" s="1"/>
  <c r="GX55"/>
  <c r="P56"/>
  <c r="S56"/>
  <c r="Y56"/>
  <c r="AC56"/>
  <c r="AB56" s="1"/>
  <c r="AD56"/>
  <c r="AE56"/>
  <c r="AF56"/>
  <c r="AG56"/>
  <c r="AH56"/>
  <c r="AI56"/>
  <c r="CW56" s="1"/>
  <c r="V56" s="1"/>
  <c r="AJ56"/>
  <c r="CQ56"/>
  <c r="CR56"/>
  <c r="CT56"/>
  <c r="CU56"/>
  <c r="T56" s="1"/>
  <c r="CV56"/>
  <c r="U56" s="1"/>
  <c r="CX56"/>
  <c r="W56" s="1"/>
  <c r="CY56"/>
  <c r="CZ56"/>
  <c r="GL56"/>
  <c r="GN56"/>
  <c r="GO56"/>
  <c r="GV56"/>
  <c r="GX56"/>
  <c r="HC56"/>
  <c r="P57"/>
  <c r="Q57"/>
  <c r="R57"/>
  <c r="AB57"/>
  <c r="AC57"/>
  <c r="AE57"/>
  <c r="AD57" s="1"/>
  <c r="AF57"/>
  <c r="AG57"/>
  <c r="AH57"/>
  <c r="AI57"/>
  <c r="AJ57"/>
  <c r="CX57" s="1"/>
  <c r="W57" s="1"/>
  <c r="CQ57"/>
  <c r="CR57"/>
  <c r="CS57"/>
  <c r="CU57"/>
  <c r="T57" s="1"/>
  <c r="CV57"/>
  <c r="U57" s="1"/>
  <c r="CW57"/>
  <c r="V57" s="1"/>
  <c r="GL57"/>
  <c r="BZ61" s="1"/>
  <c r="GN57"/>
  <c r="GO57"/>
  <c r="GV57"/>
  <c r="HC57"/>
  <c r="GX57" s="1"/>
  <c r="R58"/>
  <c r="S58"/>
  <c r="AC58"/>
  <c r="AE58"/>
  <c r="Q58" s="1"/>
  <c r="AF58"/>
  <c r="AG58"/>
  <c r="CU58" s="1"/>
  <c r="T58" s="1"/>
  <c r="AH58"/>
  <c r="AI58"/>
  <c r="AJ58"/>
  <c r="CR58"/>
  <c r="CS58"/>
  <c r="CT58"/>
  <c r="CV58"/>
  <c r="U58" s="1"/>
  <c r="CW58"/>
  <c r="V58" s="1"/>
  <c r="CX58"/>
  <c r="W58" s="1"/>
  <c r="GL58"/>
  <c r="GN58"/>
  <c r="GO58"/>
  <c r="GV58"/>
  <c r="HC58" s="1"/>
  <c r="GX58" s="1"/>
  <c r="P59"/>
  <c r="CP59" s="1"/>
  <c r="O59" s="1"/>
  <c r="R59"/>
  <c r="S59"/>
  <c r="W59"/>
  <c r="AC59"/>
  <c r="AD59"/>
  <c r="AE59"/>
  <c r="Q59" s="1"/>
  <c r="AF59"/>
  <c r="AG59"/>
  <c r="AH59"/>
  <c r="CV59" s="1"/>
  <c r="U59" s="1"/>
  <c r="AI59"/>
  <c r="AJ59"/>
  <c r="CQ59"/>
  <c r="CR59"/>
  <c r="CS59"/>
  <c r="CT59"/>
  <c r="CU59"/>
  <c r="T59" s="1"/>
  <c r="CW59"/>
  <c r="V59" s="1"/>
  <c r="CX59"/>
  <c r="CY59"/>
  <c r="GL59"/>
  <c r="GN59"/>
  <c r="GO59"/>
  <c r="GV59"/>
  <c r="HC59" s="1"/>
  <c r="GX59"/>
  <c r="B61"/>
  <c r="B26" s="1"/>
  <c r="C61"/>
  <c r="C26" s="1"/>
  <c r="D61"/>
  <c r="D26" s="1"/>
  <c r="F61"/>
  <c r="F26" s="1"/>
  <c r="G61"/>
  <c r="G26" s="1"/>
  <c r="AO61"/>
  <c r="BX61"/>
  <c r="CK61"/>
  <c r="CK26" s="1"/>
  <c r="CL61"/>
  <c r="CL26" s="1"/>
  <c r="CM61"/>
  <c r="D91"/>
  <c r="E93"/>
  <c r="Z93"/>
  <c r="AA93"/>
  <c r="AM93"/>
  <c r="AN93"/>
  <c r="BE93"/>
  <c r="BF93"/>
  <c r="BG93"/>
  <c r="BH93"/>
  <c r="BI93"/>
  <c r="BJ93"/>
  <c r="BK93"/>
  <c r="BL93"/>
  <c r="BM93"/>
  <c r="BN93"/>
  <c r="BO93"/>
  <c r="BP93"/>
  <c r="BQ93"/>
  <c r="BR93"/>
  <c r="BS93"/>
  <c r="BT93"/>
  <c r="BU93"/>
  <c r="BV93"/>
  <c r="BW93"/>
  <c r="CN93"/>
  <c r="CO93"/>
  <c r="CP93"/>
  <c r="CQ93"/>
  <c r="CR93"/>
  <c r="CS93"/>
  <c r="CT93"/>
  <c r="CU93"/>
  <c r="CV93"/>
  <c r="CW93"/>
  <c r="CX93"/>
  <c r="CY93"/>
  <c r="CZ93"/>
  <c r="DA93"/>
  <c r="DB93"/>
  <c r="DC93"/>
  <c r="DD93"/>
  <c r="DE93"/>
  <c r="DF93"/>
  <c r="DG93"/>
  <c r="DH93"/>
  <c r="DI93"/>
  <c r="DJ93"/>
  <c r="DK93"/>
  <c r="DL93"/>
  <c r="DM93"/>
  <c r="DN93"/>
  <c r="DO93"/>
  <c r="DP93"/>
  <c r="DQ93"/>
  <c r="DR93"/>
  <c r="DS93"/>
  <c r="DT93"/>
  <c r="DU93"/>
  <c r="DV93"/>
  <c r="DW93"/>
  <c r="DX93"/>
  <c r="DY93"/>
  <c r="DZ93"/>
  <c r="EA93"/>
  <c r="EB93"/>
  <c r="EC93"/>
  <c r="ED93"/>
  <c r="EE93"/>
  <c r="EF93"/>
  <c r="EG93"/>
  <c r="EH93"/>
  <c r="EI93"/>
  <c r="EJ93"/>
  <c r="EK93"/>
  <c r="EL93"/>
  <c r="EM93"/>
  <c r="EN93"/>
  <c r="EO93"/>
  <c r="EP93"/>
  <c r="EQ93"/>
  <c r="ER93"/>
  <c r="ES93"/>
  <c r="ET93"/>
  <c r="EU93"/>
  <c r="EV93"/>
  <c r="EW93"/>
  <c r="EX93"/>
  <c r="EY93"/>
  <c r="EZ93"/>
  <c r="FA93"/>
  <c r="FB93"/>
  <c r="FC93"/>
  <c r="FD93"/>
  <c r="FE93"/>
  <c r="FF93"/>
  <c r="FG93"/>
  <c r="FH93"/>
  <c r="FI93"/>
  <c r="FJ93"/>
  <c r="FK93"/>
  <c r="FL93"/>
  <c r="FM93"/>
  <c r="FN93"/>
  <c r="FO93"/>
  <c r="FP93"/>
  <c r="FQ93"/>
  <c r="FR93"/>
  <c r="FS93"/>
  <c r="FT93"/>
  <c r="FU93"/>
  <c r="FV93"/>
  <c r="FW93"/>
  <c r="FX93"/>
  <c r="FY93"/>
  <c r="FZ93"/>
  <c r="GA93"/>
  <c r="GB93"/>
  <c r="GC93"/>
  <c r="GD93"/>
  <c r="GE93"/>
  <c r="GF93"/>
  <c r="GG93"/>
  <c r="GH93"/>
  <c r="GI93"/>
  <c r="GJ93"/>
  <c r="GK93"/>
  <c r="GL93"/>
  <c r="GM93"/>
  <c r="GN93"/>
  <c r="GO93"/>
  <c r="GP93"/>
  <c r="GQ93"/>
  <c r="GR93"/>
  <c r="GS93"/>
  <c r="GT93"/>
  <c r="GU93"/>
  <c r="GV93"/>
  <c r="GW93"/>
  <c r="GX93"/>
  <c r="I95"/>
  <c r="I96" s="1"/>
  <c r="K95"/>
  <c r="Q95"/>
  <c r="AC95"/>
  <c r="AE95"/>
  <c r="AD95" s="1"/>
  <c r="AF95"/>
  <c r="S95" s="1"/>
  <c r="AG95"/>
  <c r="CU95" s="1"/>
  <c r="AH95"/>
  <c r="AI95"/>
  <c r="AJ95"/>
  <c r="CR95"/>
  <c r="CS95"/>
  <c r="CT95"/>
  <c r="CV95"/>
  <c r="U95" s="1"/>
  <c r="CW95"/>
  <c r="V95" s="1"/>
  <c r="CX95"/>
  <c r="W95" s="1"/>
  <c r="GL95"/>
  <c r="GN95"/>
  <c r="GP95"/>
  <c r="GV95"/>
  <c r="HC95"/>
  <c r="GX95" s="1"/>
  <c r="AC96"/>
  <c r="AE96"/>
  <c r="AF96"/>
  <c r="AG96"/>
  <c r="CU96" s="1"/>
  <c r="AH96"/>
  <c r="AI96"/>
  <c r="CW96" s="1"/>
  <c r="V96" s="1"/>
  <c r="AJ96"/>
  <c r="CT96"/>
  <c r="CV96"/>
  <c r="CX96"/>
  <c r="W96" s="1"/>
  <c r="GL96"/>
  <c r="GN96"/>
  <c r="GP96"/>
  <c r="GV96"/>
  <c r="HC96" s="1"/>
  <c r="GX96" s="1"/>
  <c r="R97"/>
  <c r="S97"/>
  <c r="W97"/>
  <c r="AC97"/>
  <c r="AD97"/>
  <c r="AE97"/>
  <c r="Q97" s="1"/>
  <c r="AF97"/>
  <c r="AG97"/>
  <c r="AH97"/>
  <c r="CV97" s="1"/>
  <c r="U97" s="1"/>
  <c r="AI97"/>
  <c r="AJ97"/>
  <c r="CQ97"/>
  <c r="CR97"/>
  <c r="CS97"/>
  <c r="CT97"/>
  <c r="CU97"/>
  <c r="T97" s="1"/>
  <c r="CW97"/>
  <c r="V97" s="1"/>
  <c r="CX97"/>
  <c r="GL97"/>
  <c r="GO97"/>
  <c r="GP97"/>
  <c r="GV97"/>
  <c r="HC97" s="1"/>
  <c r="GX97" s="1"/>
  <c r="Q98"/>
  <c r="S98"/>
  <c r="W98"/>
  <c r="Y98"/>
  <c r="AC98"/>
  <c r="AD98"/>
  <c r="AE98"/>
  <c r="AF98"/>
  <c r="AG98"/>
  <c r="CU98" s="1"/>
  <c r="T98" s="1"/>
  <c r="AH98"/>
  <c r="AI98"/>
  <c r="CW98" s="1"/>
  <c r="V98" s="1"/>
  <c r="AJ98"/>
  <c r="CR98"/>
  <c r="CT98"/>
  <c r="CV98"/>
  <c r="U98" s="1"/>
  <c r="CX98"/>
  <c r="CY98"/>
  <c r="CZ98"/>
  <c r="GL98"/>
  <c r="GN98"/>
  <c r="GP98"/>
  <c r="GV98"/>
  <c r="HC98"/>
  <c r="GX98" s="1"/>
  <c r="I99"/>
  <c r="Q99"/>
  <c r="S99"/>
  <c r="W99"/>
  <c r="X99"/>
  <c r="AC99"/>
  <c r="AE99"/>
  <c r="AF99"/>
  <c r="AG99"/>
  <c r="AH99"/>
  <c r="AI99"/>
  <c r="CW99" s="1"/>
  <c r="V99" s="1"/>
  <c r="AJ99"/>
  <c r="CQ99"/>
  <c r="CT99"/>
  <c r="CU99"/>
  <c r="T99" s="1"/>
  <c r="CV99"/>
  <c r="U99" s="1"/>
  <c r="CX99"/>
  <c r="GL99"/>
  <c r="GN99"/>
  <c r="GP99"/>
  <c r="GV99"/>
  <c r="HC99"/>
  <c r="GX99" s="1"/>
  <c r="I100"/>
  <c r="S100"/>
  <c r="T100"/>
  <c r="AC100"/>
  <c r="AE100"/>
  <c r="AF100"/>
  <c r="AG100"/>
  <c r="AH100"/>
  <c r="CV100" s="1"/>
  <c r="U100" s="1"/>
  <c r="AI100"/>
  <c r="CW100" s="1"/>
  <c r="V100" s="1"/>
  <c r="AJ100"/>
  <c r="CQ100"/>
  <c r="CT100"/>
  <c r="CU100"/>
  <c r="CX100"/>
  <c r="W100" s="1"/>
  <c r="GL100"/>
  <c r="GN100"/>
  <c r="GP100"/>
  <c r="GV100"/>
  <c r="HC100" s="1"/>
  <c r="GX100" s="1"/>
  <c r="I101"/>
  <c r="P101"/>
  <c r="S101"/>
  <c r="U101"/>
  <c r="X101"/>
  <c r="AC101"/>
  <c r="AE101"/>
  <c r="AF101"/>
  <c r="AG101"/>
  <c r="AH101"/>
  <c r="AI101"/>
  <c r="CW101" s="1"/>
  <c r="V101" s="1"/>
  <c r="AJ101"/>
  <c r="CT101"/>
  <c r="CU101"/>
  <c r="T101" s="1"/>
  <c r="CV101"/>
  <c r="CX101"/>
  <c r="W101" s="1"/>
  <c r="CY101"/>
  <c r="CZ101"/>
  <c r="GL101"/>
  <c r="GN101"/>
  <c r="GP101"/>
  <c r="GV101"/>
  <c r="HC101"/>
  <c r="GX101" s="1"/>
  <c r="I102"/>
  <c r="P102"/>
  <c r="Q102"/>
  <c r="S102"/>
  <c r="Y102"/>
  <c r="AC102"/>
  <c r="AD102"/>
  <c r="AE102"/>
  <c r="AF102"/>
  <c r="AG102"/>
  <c r="AH102"/>
  <c r="AI102"/>
  <c r="CW102" s="1"/>
  <c r="V102" s="1"/>
  <c r="AJ102"/>
  <c r="CQ102"/>
  <c r="CR102"/>
  <c r="CT102"/>
  <c r="CU102"/>
  <c r="T102" s="1"/>
  <c r="CV102"/>
  <c r="U102" s="1"/>
  <c r="CX102"/>
  <c r="W102" s="1"/>
  <c r="CY102"/>
  <c r="CZ102"/>
  <c r="GL102"/>
  <c r="GN102"/>
  <c r="GP102"/>
  <c r="GV102"/>
  <c r="HC102" s="1"/>
  <c r="GX102" s="1"/>
  <c r="P103"/>
  <c r="Q103"/>
  <c r="AC103"/>
  <c r="AE103"/>
  <c r="R103" s="1"/>
  <c r="AF103"/>
  <c r="AG103"/>
  <c r="AH103"/>
  <c r="AI103"/>
  <c r="CW103" s="1"/>
  <c r="V103" s="1"/>
  <c r="AJ103"/>
  <c r="CX103" s="1"/>
  <c r="W103" s="1"/>
  <c r="CQ103"/>
  <c r="CS103"/>
  <c r="CU103"/>
  <c r="T103" s="1"/>
  <c r="CV103"/>
  <c r="U103" s="1"/>
  <c r="FR103"/>
  <c r="GL103"/>
  <c r="GN103"/>
  <c r="GO103"/>
  <c r="GP103"/>
  <c r="GV103"/>
  <c r="HC103"/>
  <c r="GX103" s="1"/>
  <c r="I104"/>
  <c r="K104"/>
  <c r="P104"/>
  <c r="CP104" s="1"/>
  <c r="O104" s="1"/>
  <c r="R104"/>
  <c r="V104"/>
  <c r="AC104"/>
  <c r="AD104"/>
  <c r="AE104"/>
  <c r="Q104" s="1"/>
  <c r="AF104"/>
  <c r="S104" s="1"/>
  <c r="AG104"/>
  <c r="CU104" s="1"/>
  <c r="T104" s="1"/>
  <c r="AH104"/>
  <c r="CV104" s="1"/>
  <c r="U104" s="1"/>
  <c r="AI104"/>
  <c r="AJ104"/>
  <c r="CR104"/>
  <c r="CS104"/>
  <c r="CT104"/>
  <c r="CW104"/>
  <c r="CX104"/>
  <c r="W104" s="1"/>
  <c r="CY104"/>
  <c r="GL104"/>
  <c r="GN104"/>
  <c r="GP104"/>
  <c r="GV104"/>
  <c r="HC104" s="1"/>
  <c r="GX104"/>
  <c r="I105"/>
  <c r="Q105" s="1"/>
  <c r="T105"/>
  <c r="AC105"/>
  <c r="P105" s="1"/>
  <c r="AD105"/>
  <c r="AE105"/>
  <c r="AF105"/>
  <c r="AG105"/>
  <c r="AH105"/>
  <c r="CV105" s="1"/>
  <c r="AI105"/>
  <c r="AJ105"/>
  <c r="CQ105"/>
  <c r="CR105"/>
  <c r="CS105"/>
  <c r="CU105"/>
  <c r="CW105"/>
  <c r="V105" s="1"/>
  <c r="CX105"/>
  <c r="W105" s="1"/>
  <c r="GL105"/>
  <c r="GN105"/>
  <c r="GP105"/>
  <c r="GV105"/>
  <c r="HC105" s="1"/>
  <c r="GX105"/>
  <c r="I106"/>
  <c r="S106" s="1"/>
  <c r="AC106"/>
  <c r="AE106"/>
  <c r="AF106"/>
  <c r="AG106"/>
  <c r="AH106"/>
  <c r="AI106"/>
  <c r="CW106" s="1"/>
  <c r="V106" s="1"/>
  <c r="AJ106"/>
  <c r="CQ106"/>
  <c r="CR106"/>
  <c r="CT106"/>
  <c r="CU106"/>
  <c r="T106" s="1"/>
  <c r="CV106"/>
  <c r="U106" s="1"/>
  <c r="CX106"/>
  <c r="GL106"/>
  <c r="GN106"/>
  <c r="GP106"/>
  <c r="GV106"/>
  <c r="HC106"/>
  <c r="GX106" s="1"/>
  <c r="I107"/>
  <c r="P107"/>
  <c r="S107"/>
  <c r="U107"/>
  <c r="AC107"/>
  <c r="AE107"/>
  <c r="AF107"/>
  <c r="AG107"/>
  <c r="AH107"/>
  <c r="AI107"/>
  <c r="CW107" s="1"/>
  <c r="V107" s="1"/>
  <c r="AJ107"/>
  <c r="CQ107"/>
  <c r="CT107"/>
  <c r="CU107"/>
  <c r="T107" s="1"/>
  <c r="CV107"/>
  <c r="CX107"/>
  <c r="W107" s="1"/>
  <c r="CZ107"/>
  <c r="GL107"/>
  <c r="GN107"/>
  <c r="GP107"/>
  <c r="GV107"/>
  <c r="HC107"/>
  <c r="GX107" s="1"/>
  <c r="I108"/>
  <c r="P108"/>
  <c r="Q108"/>
  <c r="S108"/>
  <c r="Y108"/>
  <c r="AC108"/>
  <c r="AE108"/>
  <c r="AF108"/>
  <c r="AG108"/>
  <c r="AH108"/>
  <c r="AI108"/>
  <c r="CW108" s="1"/>
  <c r="V108" s="1"/>
  <c r="AJ108"/>
  <c r="CQ108"/>
  <c r="CR108"/>
  <c r="CT108"/>
  <c r="CU108"/>
  <c r="T108" s="1"/>
  <c r="CV108"/>
  <c r="U108" s="1"/>
  <c r="CX108"/>
  <c r="W108" s="1"/>
  <c r="CZ108"/>
  <c r="GL108"/>
  <c r="GN108"/>
  <c r="GP108"/>
  <c r="GV108"/>
  <c r="HC108"/>
  <c r="GX108" s="1"/>
  <c r="I109"/>
  <c r="P109"/>
  <c r="S109"/>
  <c r="U109"/>
  <c r="AC109"/>
  <c r="AE109"/>
  <c r="AF109"/>
  <c r="AG109"/>
  <c r="AH109"/>
  <c r="AI109"/>
  <c r="CW109" s="1"/>
  <c r="V109" s="1"/>
  <c r="AJ109"/>
  <c r="CQ109"/>
  <c r="CT109"/>
  <c r="CU109"/>
  <c r="T109" s="1"/>
  <c r="CV109"/>
  <c r="CX109"/>
  <c r="W109" s="1"/>
  <c r="CZ109"/>
  <c r="GL109"/>
  <c r="GN109"/>
  <c r="GP109"/>
  <c r="GV109"/>
  <c r="HC109"/>
  <c r="GX109" s="1"/>
  <c r="I110"/>
  <c r="P110"/>
  <c r="Q110"/>
  <c r="S110"/>
  <c r="Y110"/>
  <c r="AC110"/>
  <c r="AE110"/>
  <c r="AF110"/>
  <c r="AG110"/>
  <c r="AH110"/>
  <c r="AI110"/>
  <c r="CW110" s="1"/>
  <c r="V110" s="1"/>
  <c r="AJ110"/>
  <c r="CQ110"/>
  <c r="CR110"/>
  <c r="CT110"/>
  <c r="CU110"/>
  <c r="T110" s="1"/>
  <c r="CV110"/>
  <c r="U110" s="1"/>
  <c r="CX110"/>
  <c r="W110" s="1"/>
  <c r="CZ110"/>
  <c r="GL110"/>
  <c r="GN110"/>
  <c r="GP110"/>
  <c r="GV110"/>
  <c r="HC110"/>
  <c r="GX110" s="1"/>
  <c r="I111"/>
  <c r="P111"/>
  <c r="S111"/>
  <c r="U111"/>
  <c r="AC111"/>
  <c r="AE111"/>
  <c r="AF111"/>
  <c r="AG111"/>
  <c r="AH111"/>
  <c r="AI111"/>
  <c r="CW111" s="1"/>
  <c r="V111" s="1"/>
  <c r="AJ111"/>
  <c r="CQ111"/>
  <c r="CT111"/>
  <c r="CU111"/>
  <c r="T111" s="1"/>
  <c r="CV111"/>
  <c r="CX111"/>
  <c r="W111" s="1"/>
  <c r="CZ111"/>
  <c r="GL111"/>
  <c r="GN111"/>
  <c r="GP111"/>
  <c r="GV111"/>
  <c r="HC111"/>
  <c r="GX111" s="1"/>
  <c r="P112"/>
  <c r="R112"/>
  <c r="V112"/>
  <c r="AC112"/>
  <c r="AE112"/>
  <c r="AD112" s="1"/>
  <c r="AB112" s="1"/>
  <c r="AF112"/>
  <c r="AG112"/>
  <c r="AH112"/>
  <c r="AI112"/>
  <c r="AJ112"/>
  <c r="CX112" s="1"/>
  <c r="W112" s="1"/>
  <c r="CQ112"/>
  <c r="CR112"/>
  <c r="CS112"/>
  <c r="CU112"/>
  <c r="T112" s="1"/>
  <c r="CV112"/>
  <c r="U112" s="1"/>
  <c r="CW112"/>
  <c r="GL112"/>
  <c r="GO112"/>
  <c r="GP112"/>
  <c r="GV112"/>
  <c r="HC112"/>
  <c r="GX112" s="1"/>
  <c r="I113"/>
  <c r="K113"/>
  <c r="AC113"/>
  <c r="AE113"/>
  <c r="AF113"/>
  <c r="AG113"/>
  <c r="AH113"/>
  <c r="AI113"/>
  <c r="CW113" s="1"/>
  <c r="AJ113"/>
  <c r="CQ113"/>
  <c r="CR113"/>
  <c r="CT113"/>
  <c r="CU113"/>
  <c r="CV113"/>
  <c r="U113" s="1"/>
  <c r="CX113"/>
  <c r="GL113"/>
  <c r="GN113"/>
  <c r="GP113"/>
  <c r="GV113"/>
  <c r="HC113"/>
  <c r="GX113" s="1"/>
  <c r="AC114"/>
  <c r="AE114"/>
  <c r="AF114"/>
  <c r="AG114"/>
  <c r="AH114"/>
  <c r="AI114"/>
  <c r="CW114" s="1"/>
  <c r="AJ114"/>
  <c r="CQ114"/>
  <c r="CR114"/>
  <c r="CT114"/>
  <c r="CU114"/>
  <c r="CV114"/>
  <c r="CX114"/>
  <c r="GL114"/>
  <c r="GN114"/>
  <c r="GP114"/>
  <c r="GV114"/>
  <c r="HC114"/>
  <c r="P115"/>
  <c r="R115"/>
  <c r="AB115"/>
  <c r="AC115"/>
  <c r="AE115"/>
  <c r="AD115" s="1"/>
  <c r="AF115"/>
  <c r="AG115"/>
  <c r="AH115"/>
  <c r="AI115"/>
  <c r="AJ115"/>
  <c r="CX115" s="1"/>
  <c r="W115" s="1"/>
  <c r="CQ115"/>
  <c r="CR115"/>
  <c r="CS115"/>
  <c r="CU115"/>
  <c r="T115" s="1"/>
  <c r="CV115"/>
  <c r="U115" s="1"/>
  <c r="CW115"/>
  <c r="V115" s="1"/>
  <c r="GL115"/>
  <c r="GO115"/>
  <c r="GP115"/>
  <c r="GV115"/>
  <c r="HC115"/>
  <c r="GX115" s="1"/>
  <c r="I116"/>
  <c r="K116"/>
  <c r="U116"/>
  <c r="AC116"/>
  <c r="AE116"/>
  <c r="AF116"/>
  <c r="AG116"/>
  <c r="AH116"/>
  <c r="AI116"/>
  <c r="CW116" s="1"/>
  <c r="V116" s="1"/>
  <c r="AJ116"/>
  <c r="CQ116"/>
  <c r="CT116"/>
  <c r="CU116"/>
  <c r="T116" s="1"/>
  <c r="CV116"/>
  <c r="CX116"/>
  <c r="W116" s="1"/>
  <c r="GL116"/>
  <c r="GN116"/>
  <c r="GP116"/>
  <c r="GV116"/>
  <c r="HC116"/>
  <c r="GX116" s="1"/>
  <c r="AC117"/>
  <c r="AE117"/>
  <c r="AF117"/>
  <c r="AG117"/>
  <c r="AH117"/>
  <c r="AI117"/>
  <c r="CW117" s="1"/>
  <c r="AJ117"/>
  <c r="CQ117"/>
  <c r="CT117"/>
  <c r="CU117"/>
  <c r="CV117"/>
  <c r="CX117"/>
  <c r="GL117"/>
  <c r="GN117"/>
  <c r="GP117"/>
  <c r="GV117"/>
  <c r="HC117"/>
  <c r="P118"/>
  <c r="R118"/>
  <c r="V118"/>
  <c r="AC118"/>
  <c r="AE118"/>
  <c r="AD118" s="1"/>
  <c r="AB118" s="1"/>
  <c r="AF118"/>
  <c r="AG118"/>
  <c r="AH118"/>
  <c r="AI118"/>
  <c r="AJ118"/>
  <c r="CX118" s="1"/>
  <c r="W118" s="1"/>
  <c r="CQ118"/>
  <c r="CR118"/>
  <c r="CS118"/>
  <c r="CU118"/>
  <c r="T118" s="1"/>
  <c r="CV118"/>
  <c r="U118" s="1"/>
  <c r="CW118"/>
  <c r="GL118"/>
  <c r="GO118"/>
  <c r="GP118"/>
  <c r="GV118"/>
  <c r="HC118"/>
  <c r="GX118" s="1"/>
  <c r="I119"/>
  <c r="AB119"/>
  <c r="AC119"/>
  <c r="AE119"/>
  <c r="AD119" s="1"/>
  <c r="AF119"/>
  <c r="AG119"/>
  <c r="AH119"/>
  <c r="AI119"/>
  <c r="AJ119"/>
  <c r="CX119" s="1"/>
  <c r="CQ119"/>
  <c r="CR119"/>
  <c r="CS119"/>
  <c r="CU119"/>
  <c r="CV119"/>
  <c r="CW119"/>
  <c r="V119" s="1"/>
  <c r="GL119"/>
  <c r="GO119"/>
  <c r="GP119"/>
  <c r="GV119"/>
  <c r="HC119"/>
  <c r="R120"/>
  <c r="S120"/>
  <c r="AC120"/>
  <c r="AE120"/>
  <c r="AD120" s="1"/>
  <c r="AF120"/>
  <c r="AG120"/>
  <c r="CU120" s="1"/>
  <c r="T120" s="1"/>
  <c r="AH120"/>
  <c r="AI120"/>
  <c r="AJ120"/>
  <c r="CR120"/>
  <c r="CS120"/>
  <c r="CT120"/>
  <c r="CV120"/>
  <c r="U120" s="1"/>
  <c r="CW120"/>
  <c r="V120" s="1"/>
  <c r="CX120"/>
  <c r="W120" s="1"/>
  <c r="GL120"/>
  <c r="GN120"/>
  <c r="GO120"/>
  <c r="GP120"/>
  <c r="GV120"/>
  <c r="HC120"/>
  <c r="GX120" s="1"/>
  <c r="R121"/>
  <c r="S121"/>
  <c r="AC121"/>
  <c r="AE121"/>
  <c r="AD121" s="1"/>
  <c r="AF121"/>
  <c r="AG121"/>
  <c r="CU121" s="1"/>
  <c r="T121" s="1"/>
  <c r="AH121"/>
  <c r="AI121"/>
  <c r="AJ121"/>
  <c r="CR121"/>
  <c r="CS121"/>
  <c r="CT121"/>
  <c r="CV121"/>
  <c r="U121" s="1"/>
  <c r="CW121"/>
  <c r="V121" s="1"/>
  <c r="CX121"/>
  <c r="W121" s="1"/>
  <c r="GL121"/>
  <c r="GN121"/>
  <c r="GO121"/>
  <c r="GV121"/>
  <c r="HC121" s="1"/>
  <c r="GX121" s="1"/>
  <c r="P122"/>
  <c r="R122"/>
  <c r="S122"/>
  <c r="Y122" s="1"/>
  <c r="T122"/>
  <c r="X122"/>
  <c r="AC122"/>
  <c r="AD122"/>
  <c r="AE122"/>
  <c r="Q122" s="1"/>
  <c r="AF122"/>
  <c r="AG122"/>
  <c r="AH122"/>
  <c r="CV122" s="1"/>
  <c r="U122" s="1"/>
  <c r="AI122"/>
  <c r="AJ122"/>
  <c r="CQ122"/>
  <c r="CR122"/>
  <c r="CS122"/>
  <c r="CT122"/>
  <c r="CU122"/>
  <c r="CW122"/>
  <c r="V122" s="1"/>
  <c r="CX122"/>
  <c r="W122" s="1"/>
  <c r="CY122"/>
  <c r="GL122"/>
  <c r="GN122"/>
  <c r="GO122"/>
  <c r="GV122"/>
  <c r="HC122" s="1"/>
  <c r="GX122" s="1"/>
  <c r="P123"/>
  <c r="Q123"/>
  <c r="S123"/>
  <c r="Y123"/>
  <c r="AC123"/>
  <c r="AE123"/>
  <c r="CZ123" s="1"/>
  <c r="AF123"/>
  <c r="AG123"/>
  <c r="AH123"/>
  <c r="AI123"/>
  <c r="CW123" s="1"/>
  <c r="V123" s="1"/>
  <c r="AJ123"/>
  <c r="CQ123"/>
  <c r="CR123"/>
  <c r="CT123"/>
  <c r="CU123"/>
  <c r="T123" s="1"/>
  <c r="CV123"/>
  <c r="U123" s="1"/>
  <c r="CX123"/>
  <c r="W123" s="1"/>
  <c r="CY123"/>
  <c r="GL123"/>
  <c r="GN123"/>
  <c r="GO123"/>
  <c r="GV123"/>
  <c r="HC123"/>
  <c r="GX123" s="1"/>
  <c r="P124"/>
  <c r="R124"/>
  <c r="U124"/>
  <c r="AB124"/>
  <c r="AC124"/>
  <c r="AE124"/>
  <c r="AD124" s="1"/>
  <c r="AF124"/>
  <c r="AG124"/>
  <c r="AH124"/>
  <c r="AI124"/>
  <c r="AJ124"/>
  <c r="CX124" s="1"/>
  <c r="W124" s="1"/>
  <c r="CQ124"/>
  <c r="CR124"/>
  <c r="CS124"/>
  <c r="CU124"/>
  <c r="T124" s="1"/>
  <c r="CV124"/>
  <c r="CW124"/>
  <c r="V124" s="1"/>
  <c r="GL124"/>
  <c r="GN124"/>
  <c r="GO124"/>
  <c r="GV124"/>
  <c r="HC124"/>
  <c r="GX124" s="1"/>
  <c r="B126"/>
  <c r="B93" s="1"/>
  <c r="C126"/>
  <c r="C93" s="1"/>
  <c r="D126"/>
  <c r="D93" s="1"/>
  <c r="F126"/>
  <c r="F93" s="1"/>
  <c r="G126"/>
  <c r="G93" s="1"/>
  <c r="BX126"/>
  <c r="BX93" s="1"/>
  <c r="CK126"/>
  <c r="CK93" s="1"/>
  <c r="CL126"/>
  <c r="CL93" s="1"/>
  <c r="CM126"/>
  <c r="CM93" s="1"/>
  <c r="D156"/>
  <c r="E158"/>
  <c r="Z158"/>
  <c r="AA158"/>
  <c r="AM158"/>
  <c r="AN158"/>
  <c r="BE158"/>
  <c r="BF158"/>
  <c r="BG158"/>
  <c r="BH158"/>
  <c r="BI158"/>
  <c r="BJ158"/>
  <c r="BK158"/>
  <c r="BL158"/>
  <c r="BM158"/>
  <c r="BN158"/>
  <c r="BO158"/>
  <c r="BP158"/>
  <c r="BQ158"/>
  <c r="BR158"/>
  <c r="BS158"/>
  <c r="BT158"/>
  <c r="BU158"/>
  <c r="BV158"/>
  <c r="BW158"/>
  <c r="CN158"/>
  <c r="CO158"/>
  <c r="CP158"/>
  <c r="CQ158"/>
  <c r="CR158"/>
  <c r="CS158"/>
  <c r="CT158"/>
  <c r="CU158"/>
  <c r="CV158"/>
  <c r="CW158"/>
  <c r="CX158"/>
  <c r="CY158"/>
  <c r="CZ158"/>
  <c r="DA158"/>
  <c r="DB158"/>
  <c r="DC158"/>
  <c r="DD158"/>
  <c r="DE158"/>
  <c r="DF158"/>
  <c r="DG158"/>
  <c r="DH158"/>
  <c r="DI158"/>
  <c r="DJ158"/>
  <c r="DK158"/>
  <c r="DL158"/>
  <c r="DM158"/>
  <c r="DN158"/>
  <c r="DO158"/>
  <c r="DP158"/>
  <c r="DQ158"/>
  <c r="DR158"/>
  <c r="DS158"/>
  <c r="DT158"/>
  <c r="DU158"/>
  <c r="DV158"/>
  <c r="DW158"/>
  <c r="DX158"/>
  <c r="DY158"/>
  <c r="DZ158"/>
  <c r="EA158"/>
  <c r="EB158"/>
  <c r="EC158"/>
  <c r="ED158"/>
  <c r="EE158"/>
  <c r="EF158"/>
  <c r="EG158"/>
  <c r="EH158"/>
  <c r="EI158"/>
  <c r="EJ158"/>
  <c r="EK158"/>
  <c r="EL158"/>
  <c r="EM158"/>
  <c r="EN158"/>
  <c r="EO158"/>
  <c r="EP158"/>
  <c r="EQ158"/>
  <c r="ER158"/>
  <c r="ES158"/>
  <c r="ET158"/>
  <c r="EU158"/>
  <c r="EV158"/>
  <c r="EW158"/>
  <c r="EX158"/>
  <c r="EY158"/>
  <c r="EZ158"/>
  <c r="FA158"/>
  <c r="FB158"/>
  <c r="FC158"/>
  <c r="FD158"/>
  <c r="FE158"/>
  <c r="FF158"/>
  <c r="FG158"/>
  <c r="FH158"/>
  <c r="FI158"/>
  <c r="FJ158"/>
  <c r="FK158"/>
  <c r="FL158"/>
  <c r="FM158"/>
  <c r="FN158"/>
  <c r="FO158"/>
  <c r="FP158"/>
  <c r="FQ158"/>
  <c r="FR158"/>
  <c r="FS158"/>
  <c r="FT158"/>
  <c r="FU158"/>
  <c r="FV158"/>
  <c r="FW158"/>
  <c r="FX158"/>
  <c r="FY158"/>
  <c r="FZ158"/>
  <c r="GA158"/>
  <c r="GB158"/>
  <c r="GC158"/>
  <c r="GD158"/>
  <c r="GE158"/>
  <c r="GF158"/>
  <c r="GG158"/>
  <c r="GH158"/>
  <c r="GI158"/>
  <c r="GJ158"/>
  <c r="GK158"/>
  <c r="GL158"/>
  <c r="GM158"/>
  <c r="GN158"/>
  <c r="GO158"/>
  <c r="GP158"/>
  <c r="GQ158"/>
  <c r="GR158"/>
  <c r="GS158"/>
  <c r="GT158"/>
  <c r="GU158"/>
  <c r="GV158"/>
  <c r="GW158"/>
  <c r="GX158"/>
  <c r="P160"/>
  <c r="T160"/>
  <c r="AC160"/>
  <c r="AE160"/>
  <c r="Q160" s="1"/>
  <c r="AF160"/>
  <c r="AG160"/>
  <c r="AH160"/>
  <c r="CV160" s="1"/>
  <c r="U160" s="1"/>
  <c r="AI160"/>
  <c r="CW160" s="1"/>
  <c r="V160" s="1"/>
  <c r="AJ160"/>
  <c r="CX160" s="1"/>
  <c r="W160" s="1"/>
  <c r="CQ160"/>
  <c r="CS160"/>
  <c r="CU160"/>
  <c r="GL160"/>
  <c r="GN160"/>
  <c r="GP160"/>
  <c r="GV160"/>
  <c r="HC160"/>
  <c r="GX160" s="1"/>
  <c r="I161"/>
  <c r="Q161"/>
  <c r="R161"/>
  <c r="AC161"/>
  <c r="CQ161" s="1"/>
  <c r="AD161"/>
  <c r="AE161"/>
  <c r="AF161"/>
  <c r="S161" s="1"/>
  <c r="X161" s="1"/>
  <c r="AG161"/>
  <c r="CU161" s="1"/>
  <c r="T161" s="1"/>
  <c r="AH161"/>
  <c r="CV161" s="1"/>
  <c r="U161" s="1"/>
  <c r="AI161"/>
  <c r="AJ161"/>
  <c r="CR161"/>
  <c r="CS161"/>
  <c r="CT161"/>
  <c r="CW161"/>
  <c r="V161" s="1"/>
  <c r="CX161"/>
  <c r="W161" s="1"/>
  <c r="GL161"/>
  <c r="GN161"/>
  <c r="GP161"/>
  <c r="GV161"/>
  <c r="HC161" s="1"/>
  <c r="GX161" s="1"/>
  <c r="I162"/>
  <c r="Q162" s="1"/>
  <c r="R162"/>
  <c r="S162"/>
  <c r="X162" s="1"/>
  <c r="AC162"/>
  <c r="P162" s="1"/>
  <c r="CP162" s="1"/>
  <c r="O162" s="1"/>
  <c r="AD162"/>
  <c r="AE162"/>
  <c r="AF162"/>
  <c r="AG162"/>
  <c r="CU162" s="1"/>
  <c r="T162" s="1"/>
  <c r="AH162"/>
  <c r="CV162" s="1"/>
  <c r="U162" s="1"/>
  <c r="AI162"/>
  <c r="AJ162"/>
  <c r="CR162"/>
  <c r="CS162"/>
  <c r="CT162"/>
  <c r="CW162"/>
  <c r="V162" s="1"/>
  <c r="CX162"/>
  <c r="W162" s="1"/>
  <c r="GL162"/>
  <c r="GN162"/>
  <c r="GP162"/>
  <c r="GV162"/>
  <c r="HC162" s="1"/>
  <c r="GX162" s="1"/>
  <c r="I163"/>
  <c r="Q163" s="1"/>
  <c r="R163"/>
  <c r="S163"/>
  <c r="X163" s="1"/>
  <c r="AC163"/>
  <c r="P163" s="1"/>
  <c r="CP163" s="1"/>
  <c r="O163" s="1"/>
  <c r="AD163"/>
  <c r="AE163"/>
  <c r="AF163"/>
  <c r="AG163"/>
  <c r="CU163" s="1"/>
  <c r="T163" s="1"/>
  <c r="AH163"/>
  <c r="CV163" s="1"/>
  <c r="U163" s="1"/>
  <c r="AI163"/>
  <c r="AJ163"/>
  <c r="CR163"/>
  <c r="CS163"/>
  <c r="CT163"/>
  <c r="CW163"/>
  <c r="V163" s="1"/>
  <c r="CX163"/>
  <c r="W163" s="1"/>
  <c r="GL163"/>
  <c r="GN163"/>
  <c r="GP163"/>
  <c r="GV163"/>
  <c r="HC163" s="1"/>
  <c r="GX163" s="1"/>
  <c r="I164"/>
  <c r="Q164" s="1"/>
  <c r="R164"/>
  <c r="S164"/>
  <c r="X164" s="1"/>
  <c r="AC164"/>
  <c r="P164" s="1"/>
  <c r="CP164" s="1"/>
  <c r="O164" s="1"/>
  <c r="AD164"/>
  <c r="AE164"/>
  <c r="AF164"/>
  <c r="AG164"/>
  <c r="CU164" s="1"/>
  <c r="T164" s="1"/>
  <c r="AH164"/>
  <c r="CV164" s="1"/>
  <c r="U164" s="1"/>
  <c r="AI164"/>
  <c r="AJ164"/>
  <c r="CR164"/>
  <c r="CS164"/>
  <c r="CT164"/>
  <c r="CW164"/>
  <c r="V164" s="1"/>
  <c r="CX164"/>
  <c r="W164" s="1"/>
  <c r="GL164"/>
  <c r="GN164"/>
  <c r="GP164"/>
  <c r="GV164"/>
  <c r="HC164" s="1"/>
  <c r="GX164" s="1"/>
  <c r="I165"/>
  <c r="K165"/>
  <c r="R165"/>
  <c r="AC165"/>
  <c r="P165" s="1"/>
  <c r="AE165"/>
  <c r="AD165" s="1"/>
  <c r="AB165" s="1"/>
  <c r="AF165"/>
  <c r="S165" s="1"/>
  <c r="AG165"/>
  <c r="CU165" s="1"/>
  <c r="T165" s="1"/>
  <c r="AH165"/>
  <c r="AI165"/>
  <c r="AJ165"/>
  <c r="CX165" s="1"/>
  <c r="W165" s="1"/>
  <c r="CR165"/>
  <c r="CS165"/>
  <c r="CV165"/>
  <c r="U165" s="1"/>
  <c r="CW165"/>
  <c r="V165" s="1"/>
  <c r="GL165"/>
  <c r="GN165"/>
  <c r="GP165"/>
  <c r="GV165"/>
  <c r="HC165"/>
  <c r="GX165" s="1"/>
  <c r="I166"/>
  <c r="Q166" s="1"/>
  <c r="R166"/>
  <c r="AC166"/>
  <c r="P166" s="1"/>
  <c r="AE166"/>
  <c r="AD166" s="1"/>
  <c r="AB166" s="1"/>
  <c r="AF166"/>
  <c r="S166" s="1"/>
  <c r="AG166"/>
  <c r="CU166" s="1"/>
  <c r="T166" s="1"/>
  <c r="AH166"/>
  <c r="AI166"/>
  <c r="AJ166"/>
  <c r="CX166" s="1"/>
  <c r="W166" s="1"/>
  <c r="CR166"/>
  <c r="CS166"/>
  <c r="CV166"/>
  <c r="U166" s="1"/>
  <c r="CW166"/>
  <c r="V166" s="1"/>
  <c r="GL166"/>
  <c r="GN166"/>
  <c r="GP166"/>
  <c r="GV166"/>
  <c r="HC166"/>
  <c r="GX166" s="1"/>
  <c r="I167"/>
  <c r="Q167" s="1"/>
  <c r="R167"/>
  <c r="AC167"/>
  <c r="P167" s="1"/>
  <c r="CP167" s="1"/>
  <c r="O167" s="1"/>
  <c r="AE167"/>
  <c r="AD167" s="1"/>
  <c r="AB167" s="1"/>
  <c r="AF167"/>
  <c r="S167" s="1"/>
  <c r="AG167"/>
  <c r="CU167" s="1"/>
  <c r="T167" s="1"/>
  <c r="AH167"/>
  <c r="AI167"/>
  <c r="AJ167"/>
  <c r="CX167" s="1"/>
  <c r="W167" s="1"/>
  <c r="CR167"/>
  <c r="CS167"/>
  <c r="CV167"/>
  <c r="U167" s="1"/>
  <c r="CW167"/>
  <c r="V167" s="1"/>
  <c r="GL167"/>
  <c r="GN167"/>
  <c r="GP167"/>
  <c r="GV167"/>
  <c r="HC167"/>
  <c r="GX167" s="1"/>
  <c r="R168"/>
  <c r="S168"/>
  <c r="X168" s="1"/>
  <c r="AC168"/>
  <c r="P168" s="1"/>
  <c r="AD168"/>
  <c r="AE168"/>
  <c r="Q168" s="1"/>
  <c r="AF168"/>
  <c r="AG168"/>
  <c r="CU168" s="1"/>
  <c r="T168" s="1"/>
  <c r="AH168"/>
  <c r="CV168" s="1"/>
  <c r="U168" s="1"/>
  <c r="AI168"/>
  <c r="AJ168"/>
  <c r="CR168"/>
  <c r="CS168"/>
  <c r="CT168"/>
  <c r="CW168"/>
  <c r="V168" s="1"/>
  <c r="CX168"/>
  <c r="W168" s="1"/>
  <c r="GL168"/>
  <c r="GN168"/>
  <c r="GP168"/>
  <c r="GV168"/>
  <c r="HC168" s="1"/>
  <c r="GX168" s="1"/>
  <c r="I169"/>
  <c r="K169"/>
  <c r="R169"/>
  <c r="AC169"/>
  <c r="P169" s="1"/>
  <c r="AE169"/>
  <c r="AD169" s="1"/>
  <c r="AB169" s="1"/>
  <c r="AF169"/>
  <c r="S169" s="1"/>
  <c r="AG169"/>
  <c r="CU169" s="1"/>
  <c r="T169" s="1"/>
  <c r="AH169"/>
  <c r="AI169"/>
  <c r="AJ169"/>
  <c r="CX169" s="1"/>
  <c r="W169" s="1"/>
  <c r="CR169"/>
  <c r="CS169"/>
  <c r="CV169"/>
  <c r="U169" s="1"/>
  <c r="CW169"/>
  <c r="V169" s="1"/>
  <c r="GL169"/>
  <c r="GN169"/>
  <c r="GP169"/>
  <c r="GV169"/>
  <c r="HC169"/>
  <c r="GX169" s="1"/>
  <c r="I170"/>
  <c r="Q170" s="1"/>
  <c r="R170"/>
  <c r="AC170"/>
  <c r="P170" s="1"/>
  <c r="CP170" s="1"/>
  <c r="O170" s="1"/>
  <c r="AE170"/>
  <c r="AD170" s="1"/>
  <c r="AB170" s="1"/>
  <c r="AF170"/>
  <c r="S170" s="1"/>
  <c r="AG170"/>
  <c r="CU170" s="1"/>
  <c r="T170" s="1"/>
  <c r="AH170"/>
  <c r="AI170"/>
  <c r="AJ170"/>
  <c r="CX170" s="1"/>
  <c r="W170" s="1"/>
  <c r="CR170"/>
  <c r="CS170"/>
  <c r="CV170"/>
  <c r="U170" s="1"/>
  <c r="CW170"/>
  <c r="V170" s="1"/>
  <c r="GL170"/>
  <c r="GN170"/>
  <c r="GP170"/>
  <c r="GV170"/>
  <c r="HC170"/>
  <c r="GX170" s="1"/>
  <c r="I171"/>
  <c r="Q171" s="1"/>
  <c r="R171"/>
  <c r="AC171"/>
  <c r="P171" s="1"/>
  <c r="AE171"/>
  <c r="AD171" s="1"/>
  <c r="AB171" s="1"/>
  <c r="AF171"/>
  <c r="S171" s="1"/>
  <c r="AG171"/>
  <c r="CU171" s="1"/>
  <c r="T171" s="1"/>
  <c r="AH171"/>
  <c r="AI171"/>
  <c r="AJ171"/>
  <c r="CX171" s="1"/>
  <c r="W171" s="1"/>
  <c r="CR171"/>
  <c r="CS171"/>
  <c r="CV171"/>
  <c r="U171" s="1"/>
  <c r="CW171"/>
  <c r="V171" s="1"/>
  <c r="GL171"/>
  <c r="GN171"/>
  <c r="GP171"/>
  <c r="GV171"/>
  <c r="HC171"/>
  <c r="GX171" s="1"/>
  <c r="I172"/>
  <c r="Q172" s="1"/>
  <c r="R172"/>
  <c r="AC172"/>
  <c r="P172" s="1"/>
  <c r="CP172" s="1"/>
  <c r="O172" s="1"/>
  <c r="AE172"/>
  <c r="AD172" s="1"/>
  <c r="AB172" s="1"/>
  <c r="AF172"/>
  <c r="S172" s="1"/>
  <c r="AG172"/>
  <c r="CU172" s="1"/>
  <c r="T172" s="1"/>
  <c r="AH172"/>
  <c r="AI172"/>
  <c r="AJ172"/>
  <c r="CX172" s="1"/>
  <c r="W172" s="1"/>
  <c r="CR172"/>
  <c r="CS172"/>
  <c r="CV172"/>
  <c r="U172" s="1"/>
  <c r="CW172"/>
  <c r="V172" s="1"/>
  <c r="GL172"/>
  <c r="GN172"/>
  <c r="GP172"/>
  <c r="GV172"/>
  <c r="HC172"/>
  <c r="GX172" s="1"/>
  <c r="R173"/>
  <c r="S173"/>
  <c r="X173" s="1"/>
  <c r="AC173"/>
  <c r="P173" s="1"/>
  <c r="AD173"/>
  <c r="AE173"/>
  <c r="Q173" s="1"/>
  <c r="AF173"/>
  <c r="AG173"/>
  <c r="CU173" s="1"/>
  <c r="T173" s="1"/>
  <c r="AH173"/>
  <c r="CV173" s="1"/>
  <c r="U173" s="1"/>
  <c r="AI173"/>
  <c r="AJ173"/>
  <c r="CR173"/>
  <c r="CS173"/>
  <c r="CT173"/>
  <c r="CW173"/>
  <c r="V173" s="1"/>
  <c r="CX173"/>
  <c r="W173" s="1"/>
  <c r="GL173"/>
  <c r="GN173"/>
  <c r="GP173"/>
  <c r="GV173"/>
  <c r="HC173" s="1"/>
  <c r="GX173" s="1"/>
  <c r="I174"/>
  <c r="K174"/>
  <c r="R174"/>
  <c r="AC174"/>
  <c r="P174" s="1"/>
  <c r="AE174"/>
  <c r="AD174" s="1"/>
  <c r="AB174" s="1"/>
  <c r="AF174"/>
  <c r="S174" s="1"/>
  <c r="AG174"/>
  <c r="CU174" s="1"/>
  <c r="T174" s="1"/>
  <c r="AH174"/>
  <c r="AI174"/>
  <c r="AJ174"/>
  <c r="CX174" s="1"/>
  <c r="W174" s="1"/>
  <c r="CR174"/>
  <c r="CS174"/>
  <c r="CV174"/>
  <c r="U174" s="1"/>
  <c r="CW174"/>
  <c r="V174" s="1"/>
  <c r="GL174"/>
  <c r="GO174"/>
  <c r="GP174"/>
  <c r="GV174"/>
  <c r="HC174"/>
  <c r="GX174" s="1"/>
  <c r="I175"/>
  <c r="Q175" s="1"/>
  <c r="R175"/>
  <c r="AC175"/>
  <c r="P175" s="1"/>
  <c r="AE175"/>
  <c r="AD175" s="1"/>
  <c r="AB175" s="1"/>
  <c r="AF175"/>
  <c r="AG175"/>
  <c r="CU175" s="1"/>
  <c r="T175" s="1"/>
  <c r="AH175"/>
  <c r="AI175"/>
  <c r="AJ175"/>
  <c r="CX175" s="1"/>
  <c r="W175" s="1"/>
  <c r="CR175"/>
  <c r="CS175"/>
  <c r="CV175"/>
  <c r="U175" s="1"/>
  <c r="CW175"/>
  <c r="V175" s="1"/>
  <c r="GL175"/>
  <c r="GO175"/>
  <c r="GP175"/>
  <c r="GV175"/>
  <c r="HC175"/>
  <c r="GX175" s="1"/>
  <c r="R176"/>
  <c r="S176"/>
  <c r="AC176"/>
  <c r="AD176"/>
  <c r="AE176"/>
  <c r="Q176" s="1"/>
  <c r="AF176"/>
  <c r="AG176"/>
  <c r="CU176" s="1"/>
  <c r="T176" s="1"/>
  <c r="AH176"/>
  <c r="AI176"/>
  <c r="AJ176"/>
  <c r="CR176"/>
  <c r="CS176"/>
  <c r="CT176"/>
  <c r="CV176"/>
  <c r="U176" s="1"/>
  <c r="CW176"/>
  <c r="V176" s="1"/>
  <c r="CX176"/>
  <c r="W176" s="1"/>
  <c r="GL176"/>
  <c r="GO176"/>
  <c r="GP176"/>
  <c r="GV176"/>
  <c r="HC176" s="1"/>
  <c r="GX176" s="1"/>
  <c r="I177"/>
  <c r="K177"/>
  <c r="R177"/>
  <c r="AC177"/>
  <c r="P177" s="1"/>
  <c r="AE177"/>
  <c r="AD177" s="1"/>
  <c r="AB177" s="1"/>
  <c r="AF177"/>
  <c r="AG177"/>
  <c r="AH177"/>
  <c r="AI177"/>
  <c r="AJ177"/>
  <c r="CX177" s="1"/>
  <c r="W177" s="1"/>
  <c r="CQ177"/>
  <c r="CR177"/>
  <c r="CS177"/>
  <c r="CU177"/>
  <c r="T177" s="1"/>
  <c r="CV177"/>
  <c r="U177" s="1"/>
  <c r="CW177"/>
  <c r="V177" s="1"/>
  <c r="GL177"/>
  <c r="GN177"/>
  <c r="GP177"/>
  <c r="GV177"/>
  <c r="HC177"/>
  <c r="GX177" s="1"/>
  <c r="I178"/>
  <c r="V178"/>
  <c r="AB178"/>
  <c r="AC178"/>
  <c r="AE178"/>
  <c r="AD178" s="1"/>
  <c r="AF178"/>
  <c r="AG178"/>
  <c r="AH178"/>
  <c r="AI178"/>
  <c r="AJ178"/>
  <c r="CX178" s="1"/>
  <c r="W178" s="1"/>
  <c r="CQ178"/>
  <c r="CR178"/>
  <c r="CS178"/>
  <c r="CU178"/>
  <c r="T178" s="1"/>
  <c r="CV178"/>
  <c r="U178" s="1"/>
  <c r="CW178"/>
  <c r="GL178"/>
  <c r="GN178"/>
  <c r="GP178"/>
  <c r="GV178"/>
  <c r="HC178"/>
  <c r="GX178" s="1"/>
  <c r="I179"/>
  <c r="R179"/>
  <c r="AC179"/>
  <c r="AE179"/>
  <c r="AD179" s="1"/>
  <c r="AB179" s="1"/>
  <c r="AF179"/>
  <c r="AG179"/>
  <c r="AH179"/>
  <c r="AI179"/>
  <c r="AJ179"/>
  <c r="CX179" s="1"/>
  <c r="CQ179"/>
  <c r="CR179"/>
  <c r="CS179"/>
  <c r="CU179"/>
  <c r="CV179"/>
  <c r="CW179"/>
  <c r="V179" s="1"/>
  <c r="GL179"/>
  <c r="GN179"/>
  <c r="GP179"/>
  <c r="GV179"/>
  <c r="HC179"/>
  <c r="GX179" s="1"/>
  <c r="I180"/>
  <c r="R180"/>
  <c r="V180"/>
  <c r="AB180"/>
  <c r="AC180"/>
  <c r="AE180"/>
  <c r="AD180" s="1"/>
  <c r="AF180"/>
  <c r="AG180"/>
  <c r="AH180"/>
  <c r="AI180"/>
  <c r="AJ180"/>
  <c r="CX180" s="1"/>
  <c r="W180" s="1"/>
  <c r="CQ180"/>
  <c r="CR180"/>
  <c r="CS180"/>
  <c r="CU180"/>
  <c r="T180" s="1"/>
  <c r="CV180"/>
  <c r="U180" s="1"/>
  <c r="CW180"/>
  <c r="GL180"/>
  <c r="GN180"/>
  <c r="GP180"/>
  <c r="GV180"/>
  <c r="HC180"/>
  <c r="GX180" s="1"/>
  <c r="I181"/>
  <c r="R181"/>
  <c r="AC181"/>
  <c r="AE181"/>
  <c r="AD181" s="1"/>
  <c r="AB181" s="1"/>
  <c r="AF181"/>
  <c r="AG181"/>
  <c r="AH181"/>
  <c r="AI181"/>
  <c r="AJ181"/>
  <c r="CX181" s="1"/>
  <c r="CQ181"/>
  <c r="CR181"/>
  <c r="CS181"/>
  <c r="CU181"/>
  <c r="CV181"/>
  <c r="CW181"/>
  <c r="V181" s="1"/>
  <c r="GL181"/>
  <c r="GN181"/>
  <c r="GP181"/>
  <c r="GV181"/>
  <c r="HC181"/>
  <c r="GX181" s="1"/>
  <c r="I182"/>
  <c r="R182"/>
  <c r="V182"/>
  <c r="AB182"/>
  <c r="AC182"/>
  <c r="AE182"/>
  <c r="AD182" s="1"/>
  <c r="AF182"/>
  <c r="AG182"/>
  <c r="AH182"/>
  <c r="AI182"/>
  <c r="AJ182"/>
  <c r="CX182" s="1"/>
  <c r="W182" s="1"/>
  <c r="CQ182"/>
  <c r="CR182"/>
  <c r="CS182"/>
  <c r="CU182"/>
  <c r="T182" s="1"/>
  <c r="CV182"/>
  <c r="U182" s="1"/>
  <c r="CW182"/>
  <c r="GL182"/>
  <c r="GN182"/>
  <c r="GP182"/>
  <c r="GV182"/>
  <c r="HC182"/>
  <c r="GX182" s="1"/>
  <c r="I183"/>
  <c r="R183"/>
  <c r="AC183"/>
  <c r="AE183"/>
  <c r="AD183" s="1"/>
  <c r="AB183" s="1"/>
  <c r="AF183"/>
  <c r="AG183"/>
  <c r="AH183"/>
  <c r="AI183"/>
  <c r="AJ183"/>
  <c r="CX183" s="1"/>
  <c r="CQ183"/>
  <c r="CR183"/>
  <c r="CS183"/>
  <c r="CU183"/>
  <c r="CV183"/>
  <c r="CW183"/>
  <c r="V183" s="1"/>
  <c r="GL183"/>
  <c r="GN183"/>
  <c r="GP183"/>
  <c r="GV183"/>
  <c r="HC183"/>
  <c r="GX183" s="1"/>
  <c r="I184"/>
  <c r="R184"/>
  <c r="V184"/>
  <c r="AB184"/>
  <c r="AC184"/>
  <c r="AE184"/>
  <c r="AD184" s="1"/>
  <c r="AF184"/>
  <c r="AG184"/>
  <c r="AH184"/>
  <c r="AI184"/>
  <c r="AJ184"/>
  <c r="CX184" s="1"/>
  <c r="W184" s="1"/>
  <c r="CQ184"/>
  <c r="CR184"/>
  <c r="CS184"/>
  <c r="CU184"/>
  <c r="T184" s="1"/>
  <c r="CV184"/>
  <c r="U184" s="1"/>
  <c r="CW184"/>
  <c r="GL184"/>
  <c r="GN184"/>
  <c r="GP184"/>
  <c r="GV184"/>
  <c r="HC184"/>
  <c r="GX184" s="1"/>
  <c r="I185"/>
  <c r="Q185" s="1"/>
  <c r="K185"/>
  <c r="AC185"/>
  <c r="AE185"/>
  <c r="AF185"/>
  <c r="AG185"/>
  <c r="AH185"/>
  <c r="AI185"/>
  <c r="CW185" s="1"/>
  <c r="AJ185"/>
  <c r="CQ185"/>
  <c r="CR185"/>
  <c r="CT185"/>
  <c r="CU185"/>
  <c r="CV185"/>
  <c r="U185" s="1"/>
  <c r="CX185"/>
  <c r="W185" s="1"/>
  <c r="GL185"/>
  <c r="GN185"/>
  <c r="GP185"/>
  <c r="GV185"/>
  <c r="GX185"/>
  <c r="HC185"/>
  <c r="AC186"/>
  <c r="AE186"/>
  <c r="CS186" s="1"/>
  <c r="AF186"/>
  <c r="AG186"/>
  <c r="AH186"/>
  <c r="AI186"/>
  <c r="CW186" s="1"/>
  <c r="AJ186"/>
  <c r="CQ186"/>
  <c r="CT186"/>
  <c r="CU186"/>
  <c r="CV186"/>
  <c r="CX186"/>
  <c r="GL186"/>
  <c r="GN186"/>
  <c r="GP186"/>
  <c r="GV186"/>
  <c r="HC186"/>
  <c r="I187"/>
  <c r="K187"/>
  <c r="S187"/>
  <c r="AC187"/>
  <c r="AD187"/>
  <c r="AE187"/>
  <c r="Q187" s="1"/>
  <c r="AF187"/>
  <c r="AG187"/>
  <c r="AH187"/>
  <c r="CV187" s="1"/>
  <c r="U187" s="1"/>
  <c r="AI187"/>
  <c r="AJ187"/>
  <c r="CQ187"/>
  <c r="CR187"/>
  <c r="CS187"/>
  <c r="CT187"/>
  <c r="CU187"/>
  <c r="T187" s="1"/>
  <c r="CW187"/>
  <c r="V187" s="1"/>
  <c r="CX187"/>
  <c r="W187" s="1"/>
  <c r="CY187"/>
  <c r="GL187"/>
  <c r="GN187"/>
  <c r="GP187"/>
  <c r="GV187"/>
  <c r="HC187" s="1"/>
  <c r="GX187" s="1"/>
  <c r="I188"/>
  <c r="Q188" s="1"/>
  <c r="P188"/>
  <c r="CP188" s="1"/>
  <c r="O188" s="1"/>
  <c r="S188"/>
  <c r="X188"/>
  <c r="AC188"/>
  <c r="AD188"/>
  <c r="AE188"/>
  <c r="R188" s="1"/>
  <c r="AF188"/>
  <c r="AG188"/>
  <c r="AH188"/>
  <c r="CV188" s="1"/>
  <c r="U188" s="1"/>
  <c r="AI188"/>
  <c r="AJ188"/>
  <c r="CQ188"/>
  <c r="CR188"/>
  <c r="CS188"/>
  <c r="CT188"/>
  <c r="CU188"/>
  <c r="T188" s="1"/>
  <c r="CW188"/>
  <c r="V188" s="1"/>
  <c r="CX188"/>
  <c r="W188" s="1"/>
  <c r="CY188"/>
  <c r="GL188"/>
  <c r="GN188"/>
  <c r="GP188"/>
  <c r="GV188"/>
  <c r="HC188" s="1"/>
  <c r="GX188"/>
  <c r="P189"/>
  <c r="T189"/>
  <c r="AC189"/>
  <c r="AE189"/>
  <c r="Q189" s="1"/>
  <c r="AF189"/>
  <c r="S189" s="1"/>
  <c r="Y189" s="1"/>
  <c r="AG189"/>
  <c r="AH189"/>
  <c r="CV189" s="1"/>
  <c r="U189" s="1"/>
  <c r="AI189"/>
  <c r="CW189" s="1"/>
  <c r="V189" s="1"/>
  <c r="AJ189"/>
  <c r="CQ189"/>
  <c r="CT189"/>
  <c r="CU189"/>
  <c r="CX189"/>
  <c r="W189" s="1"/>
  <c r="CY189"/>
  <c r="GL189"/>
  <c r="GN189"/>
  <c r="GP189"/>
  <c r="GV189"/>
  <c r="HC189"/>
  <c r="GX189" s="1"/>
  <c r="I190"/>
  <c r="K190"/>
  <c r="P190"/>
  <c r="CP190" s="1"/>
  <c r="O190" s="1"/>
  <c r="S190"/>
  <c r="X190"/>
  <c r="AC190"/>
  <c r="AD190"/>
  <c r="AE190"/>
  <c r="Q190" s="1"/>
  <c r="AF190"/>
  <c r="AG190"/>
  <c r="AH190"/>
  <c r="CV190" s="1"/>
  <c r="U190" s="1"/>
  <c r="AI190"/>
  <c r="AJ190"/>
  <c r="CQ190"/>
  <c r="CR190"/>
  <c r="CS190"/>
  <c r="CT190"/>
  <c r="CU190"/>
  <c r="T190" s="1"/>
  <c r="CW190"/>
  <c r="V190" s="1"/>
  <c r="CX190"/>
  <c r="W190" s="1"/>
  <c r="CY190"/>
  <c r="GL190"/>
  <c r="GN190"/>
  <c r="GP190"/>
  <c r="GV190"/>
  <c r="HC190" s="1"/>
  <c r="GX190"/>
  <c r="I191"/>
  <c r="S191"/>
  <c r="AC191"/>
  <c r="AD191"/>
  <c r="AE191"/>
  <c r="Q191" s="1"/>
  <c r="AF191"/>
  <c r="AG191"/>
  <c r="AH191"/>
  <c r="CV191" s="1"/>
  <c r="U191" s="1"/>
  <c r="AI191"/>
  <c r="AJ191"/>
  <c r="CQ191"/>
  <c r="CR191"/>
  <c r="CS191"/>
  <c r="CT191"/>
  <c r="CU191"/>
  <c r="T191" s="1"/>
  <c r="CW191"/>
  <c r="V191" s="1"/>
  <c r="CX191"/>
  <c r="W191" s="1"/>
  <c r="CY191"/>
  <c r="GL191"/>
  <c r="GN191"/>
  <c r="GP191"/>
  <c r="GV191"/>
  <c r="HC191" s="1"/>
  <c r="GX191" s="1"/>
  <c r="P192"/>
  <c r="Q192"/>
  <c r="T192"/>
  <c r="AC192"/>
  <c r="AE192"/>
  <c r="AD192" s="1"/>
  <c r="AF192"/>
  <c r="S192" s="1"/>
  <c r="X192" s="1"/>
  <c r="AG192"/>
  <c r="AH192"/>
  <c r="AI192"/>
  <c r="CW192" s="1"/>
  <c r="V192" s="1"/>
  <c r="AJ192"/>
  <c r="CQ192"/>
  <c r="CT192"/>
  <c r="CU192"/>
  <c r="CV192"/>
  <c r="U192" s="1"/>
  <c r="CX192"/>
  <c r="W192" s="1"/>
  <c r="CZ192"/>
  <c r="GL192"/>
  <c r="GN192"/>
  <c r="GP192"/>
  <c r="GV192"/>
  <c r="HC192"/>
  <c r="GX192" s="1"/>
  <c r="I193"/>
  <c r="K193"/>
  <c r="S193"/>
  <c r="AC193"/>
  <c r="AD193"/>
  <c r="AE193"/>
  <c r="Q193" s="1"/>
  <c r="AF193"/>
  <c r="AG193"/>
  <c r="AH193"/>
  <c r="CV193" s="1"/>
  <c r="U193" s="1"/>
  <c r="AI193"/>
  <c r="AJ193"/>
  <c r="CQ193"/>
  <c r="CR193"/>
  <c r="CS193"/>
  <c r="CT193"/>
  <c r="CU193"/>
  <c r="T193" s="1"/>
  <c r="CW193"/>
  <c r="V193" s="1"/>
  <c r="CX193"/>
  <c r="W193" s="1"/>
  <c r="CY193"/>
  <c r="GL193"/>
  <c r="GN193"/>
  <c r="GP193"/>
  <c r="GV193"/>
  <c r="HC193" s="1"/>
  <c r="GX193" s="1"/>
  <c r="I194"/>
  <c r="P194"/>
  <c r="CP194" s="1"/>
  <c r="O194" s="1"/>
  <c r="S194"/>
  <c r="X194"/>
  <c r="AC194"/>
  <c r="AD194"/>
  <c r="AE194"/>
  <c r="Q194" s="1"/>
  <c r="AF194"/>
  <c r="AG194"/>
  <c r="AH194"/>
  <c r="CV194" s="1"/>
  <c r="U194" s="1"/>
  <c r="AI194"/>
  <c r="AJ194"/>
  <c r="CQ194"/>
  <c r="CR194"/>
  <c r="CS194"/>
  <c r="CT194"/>
  <c r="CU194"/>
  <c r="T194" s="1"/>
  <c r="CW194"/>
  <c r="V194" s="1"/>
  <c r="CX194"/>
  <c r="W194" s="1"/>
  <c r="CY194"/>
  <c r="GL194"/>
  <c r="GN194"/>
  <c r="GP194"/>
  <c r="GV194"/>
  <c r="HC194" s="1"/>
  <c r="GX194"/>
  <c r="I195"/>
  <c r="K195"/>
  <c r="R195"/>
  <c r="S195"/>
  <c r="AC195"/>
  <c r="AE195"/>
  <c r="AD195" s="1"/>
  <c r="AF195"/>
  <c r="AG195"/>
  <c r="CU195" s="1"/>
  <c r="T195" s="1"/>
  <c r="AH195"/>
  <c r="AI195"/>
  <c r="AJ195"/>
  <c r="CX195" s="1"/>
  <c r="W195" s="1"/>
  <c r="CR195"/>
  <c r="CS195"/>
  <c r="CT195"/>
  <c r="CV195"/>
  <c r="U195" s="1"/>
  <c r="CW195"/>
  <c r="V195" s="1"/>
  <c r="GL195"/>
  <c r="GN195"/>
  <c r="GP195"/>
  <c r="GV195"/>
  <c r="HC195" s="1"/>
  <c r="GX195" s="1"/>
  <c r="I196"/>
  <c r="P196" s="1"/>
  <c r="K196"/>
  <c r="U196"/>
  <c r="AC196"/>
  <c r="AE196"/>
  <c r="AD196" s="1"/>
  <c r="AB196" s="1"/>
  <c r="AF196"/>
  <c r="AG196"/>
  <c r="AH196"/>
  <c r="AI196"/>
  <c r="CW196" s="1"/>
  <c r="V196" s="1"/>
  <c r="AJ196"/>
  <c r="CX196" s="1"/>
  <c r="CQ196"/>
  <c r="CS196"/>
  <c r="CU196"/>
  <c r="CV196"/>
  <c r="GL196"/>
  <c r="GN196"/>
  <c r="GP196"/>
  <c r="GV196"/>
  <c r="HC196"/>
  <c r="I197"/>
  <c r="P197" s="1"/>
  <c r="Q197"/>
  <c r="AC197"/>
  <c r="AE197"/>
  <c r="AD197" s="1"/>
  <c r="AB197" s="1"/>
  <c r="AF197"/>
  <c r="AG197"/>
  <c r="AH197"/>
  <c r="AI197"/>
  <c r="CW197" s="1"/>
  <c r="V197" s="1"/>
  <c r="AJ197"/>
  <c r="CX197" s="1"/>
  <c r="W197" s="1"/>
  <c r="CQ197"/>
  <c r="CS197"/>
  <c r="CU197"/>
  <c r="T197" s="1"/>
  <c r="CV197"/>
  <c r="GL197"/>
  <c r="GN197"/>
  <c r="GP197"/>
  <c r="GV197"/>
  <c r="HC197"/>
  <c r="I198"/>
  <c r="Q198" s="1"/>
  <c r="K198"/>
  <c r="P198"/>
  <c r="T198"/>
  <c r="AC198"/>
  <c r="AE198"/>
  <c r="CS198" s="1"/>
  <c r="AF198"/>
  <c r="AG198"/>
  <c r="AH198"/>
  <c r="CV198" s="1"/>
  <c r="U198" s="1"/>
  <c r="AI198"/>
  <c r="CW198" s="1"/>
  <c r="V198" s="1"/>
  <c r="AJ198"/>
  <c r="CQ198"/>
  <c r="CT198"/>
  <c r="CU198"/>
  <c r="CX198"/>
  <c r="W198" s="1"/>
  <c r="GL198"/>
  <c r="GO198"/>
  <c r="GP198"/>
  <c r="GV198"/>
  <c r="HC198"/>
  <c r="GX198" s="1"/>
  <c r="AC199"/>
  <c r="AD199"/>
  <c r="AE199"/>
  <c r="CS199" s="1"/>
  <c r="AF199"/>
  <c r="AG199"/>
  <c r="AH199"/>
  <c r="CV199" s="1"/>
  <c r="AI199"/>
  <c r="CW199" s="1"/>
  <c r="AJ199"/>
  <c r="CQ199"/>
  <c r="CR199"/>
  <c r="CT199"/>
  <c r="CU199"/>
  <c r="CX199"/>
  <c r="GL199"/>
  <c r="GO199"/>
  <c r="GP199"/>
  <c r="GV199"/>
  <c r="HC199"/>
  <c r="I200"/>
  <c r="K200"/>
  <c r="R200"/>
  <c r="S200"/>
  <c r="AC200"/>
  <c r="P200" s="1"/>
  <c r="CP200" s="1"/>
  <c r="O200" s="1"/>
  <c r="AD200"/>
  <c r="AE200"/>
  <c r="Q200" s="1"/>
  <c r="AF200"/>
  <c r="AG200"/>
  <c r="AH200"/>
  <c r="CV200" s="1"/>
  <c r="U200" s="1"/>
  <c r="AI200"/>
  <c r="AJ200"/>
  <c r="CQ200"/>
  <c r="CR200"/>
  <c r="CS200"/>
  <c r="CT200"/>
  <c r="CU200"/>
  <c r="T200" s="1"/>
  <c r="CW200"/>
  <c r="V200" s="1"/>
  <c r="CX200"/>
  <c r="W200" s="1"/>
  <c r="CY200"/>
  <c r="GL200"/>
  <c r="GO200"/>
  <c r="GP200"/>
  <c r="GV200"/>
  <c r="HC200" s="1"/>
  <c r="GX200"/>
  <c r="I201"/>
  <c r="Q201" s="1"/>
  <c r="CP201" s="1"/>
  <c r="O201" s="1"/>
  <c r="K201"/>
  <c r="R201"/>
  <c r="S201"/>
  <c r="Y201" s="1"/>
  <c r="X201"/>
  <c r="AC201"/>
  <c r="P201" s="1"/>
  <c r="AD201"/>
  <c r="AE201"/>
  <c r="AF201"/>
  <c r="AG201"/>
  <c r="AH201"/>
  <c r="CV201" s="1"/>
  <c r="U201" s="1"/>
  <c r="AI201"/>
  <c r="AJ201"/>
  <c r="CQ201"/>
  <c r="CR201"/>
  <c r="CS201"/>
  <c r="CT201"/>
  <c r="CU201"/>
  <c r="T201" s="1"/>
  <c r="CW201"/>
  <c r="V201" s="1"/>
  <c r="CX201"/>
  <c r="W201" s="1"/>
  <c r="CY201"/>
  <c r="GL201"/>
  <c r="GO201"/>
  <c r="GP201"/>
  <c r="GV201"/>
  <c r="HC201" s="1"/>
  <c r="GX201" s="1"/>
  <c r="AC202"/>
  <c r="AB202" s="1"/>
  <c r="AD202"/>
  <c r="AE202"/>
  <c r="AF202"/>
  <c r="AG202"/>
  <c r="AH202"/>
  <c r="CV202" s="1"/>
  <c r="AI202"/>
  <c r="AJ202"/>
  <c r="CQ202"/>
  <c r="CR202"/>
  <c r="CS202"/>
  <c r="CT202"/>
  <c r="CU202"/>
  <c r="CW202"/>
  <c r="CX202"/>
  <c r="GL202"/>
  <c r="GO202"/>
  <c r="GP202"/>
  <c r="GV202"/>
  <c r="HC202" s="1"/>
  <c r="P203"/>
  <c r="S203"/>
  <c r="AC203"/>
  <c r="AE203"/>
  <c r="X203" s="1"/>
  <c r="AF203"/>
  <c r="AG203"/>
  <c r="AH203"/>
  <c r="AI203"/>
  <c r="CW203" s="1"/>
  <c r="V203" s="1"/>
  <c r="AJ203"/>
  <c r="CQ203"/>
  <c r="CR203"/>
  <c r="CT203"/>
  <c r="CU203"/>
  <c r="T203" s="1"/>
  <c r="CV203"/>
  <c r="U203" s="1"/>
  <c r="CX203"/>
  <c r="W203" s="1"/>
  <c r="CZ203"/>
  <c r="GL203"/>
  <c r="GO203"/>
  <c r="GP203"/>
  <c r="GV203"/>
  <c r="HC203"/>
  <c r="GX203" s="1"/>
  <c r="P204"/>
  <c r="R204"/>
  <c r="V204"/>
  <c r="AC204"/>
  <c r="AE204"/>
  <c r="AD204" s="1"/>
  <c r="AF204"/>
  <c r="AG204"/>
  <c r="AH204"/>
  <c r="AI204"/>
  <c r="AJ204"/>
  <c r="CX204" s="1"/>
  <c r="W204" s="1"/>
  <c r="CQ204"/>
  <c r="CR204"/>
  <c r="CS204"/>
  <c r="CU204"/>
  <c r="T204" s="1"/>
  <c r="CV204"/>
  <c r="U204" s="1"/>
  <c r="CW204"/>
  <c r="GL204"/>
  <c r="GN204"/>
  <c r="GP204"/>
  <c r="GV204"/>
  <c r="HC204"/>
  <c r="GX204" s="1"/>
  <c r="R205"/>
  <c r="S205"/>
  <c r="AC205"/>
  <c r="AE205"/>
  <c r="Q205" s="1"/>
  <c r="AF205"/>
  <c r="AG205"/>
  <c r="CU205" s="1"/>
  <c r="T205" s="1"/>
  <c r="AH205"/>
  <c r="AI205"/>
  <c r="AJ205"/>
  <c r="CR205"/>
  <c r="CS205"/>
  <c r="CT205"/>
  <c r="CV205"/>
  <c r="U205" s="1"/>
  <c r="CW205"/>
  <c r="V205" s="1"/>
  <c r="CX205"/>
  <c r="W205" s="1"/>
  <c r="GL205"/>
  <c r="GN205"/>
  <c r="GO205"/>
  <c r="GV205"/>
  <c r="HC205" s="1"/>
  <c r="GX205" s="1"/>
  <c r="P206"/>
  <c r="R206"/>
  <c r="S206"/>
  <c r="Y206" s="1"/>
  <c r="X206"/>
  <c r="AC206"/>
  <c r="AB206" s="1"/>
  <c r="AD206"/>
  <c r="AE206"/>
  <c r="Q206" s="1"/>
  <c r="AF206"/>
  <c r="AG206"/>
  <c r="AH206"/>
  <c r="CV206" s="1"/>
  <c r="U206" s="1"/>
  <c r="AI206"/>
  <c r="AJ206"/>
  <c r="CQ206"/>
  <c r="CR206"/>
  <c r="CS206"/>
  <c r="CT206"/>
  <c r="CU206"/>
  <c r="T206" s="1"/>
  <c r="CW206"/>
  <c r="V206" s="1"/>
  <c r="CX206"/>
  <c r="W206" s="1"/>
  <c r="CY206"/>
  <c r="GL206"/>
  <c r="GN206"/>
  <c r="GO206"/>
  <c r="GV206"/>
  <c r="HC206" s="1"/>
  <c r="GX206"/>
  <c r="P207"/>
  <c r="S207"/>
  <c r="U207"/>
  <c r="Y207"/>
  <c r="AC207"/>
  <c r="AE207"/>
  <c r="AF207"/>
  <c r="AG207"/>
  <c r="AH207"/>
  <c r="AI207"/>
  <c r="CW207" s="1"/>
  <c r="V207" s="1"/>
  <c r="AJ207"/>
  <c r="CQ207"/>
  <c r="CT207"/>
  <c r="CU207"/>
  <c r="T207" s="1"/>
  <c r="CV207"/>
  <c r="CX207"/>
  <c r="W207" s="1"/>
  <c r="CZ207"/>
  <c r="GL207"/>
  <c r="GN207"/>
  <c r="GO207"/>
  <c r="GV207"/>
  <c r="HC207"/>
  <c r="GX207" s="1"/>
  <c r="P208"/>
  <c r="R208"/>
  <c r="V208"/>
  <c r="AB208"/>
  <c r="AC208"/>
  <c r="AE208"/>
  <c r="AD208" s="1"/>
  <c r="AF208"/>
  <c r="AG208"/>
  <c r="AH208"/>
  <c r="AI208"/>
  <c r="AJ208"/>
  <c r="CX208" s="1"/>
  <c r="W208" s="1"/>
  <c r="CQ208"/>
  <c r="CR208"/>
  <c r="CS208"/>
  <c r="CU208"/>
  <c r="T208" s="1"/>
  <c r="CV208"/>
  <c r="U208" s="1"/>
  <c r="CW208"/>
  <c r="GL208"/>
  <c r="GN208"/>
  <c r="GO208"/>
  <c r="GV208"/>
  <c r="HC208"/>
  <c r="GX208" s="1"/>
  <c r="B210"/>
  <c r="B158" s="1"/>
  <c r="C210"/>
  <c r="C158" s="1"/>
  <c r="D210"/>
  <c r="D158" s="1"/>
  <c r="F210"/>
  <c r="F158" s="1"/>
  <c r="G210"/>
  <c r="G158" s="1"/>
  <c r="BX210"/>
  <c r="BY210"/>
  <c r="CK210"/>
  <c r="CK158" s="1"/>
  <c r="CL210"/>
  <c r="CL158" s="1"/>
  <c r="CM210"/>
  <c r="CM158" s="1"/>
  <c r="B240"/>
  <c r="B22" s="1"/>
  <c r="C240"/>
  <c r="C22" s="1"/>
  <c r="D240"/>
  <c r="D22" s="1"/>
  <c r="F240"/>
  <c r="F22" s="1"/>
  <c r="G240"/>
  <c r="G22" s="1"/>
  <c r="B272"/>
  <c r="B18" s="1"/>
  <c r="C272"/>
  <c r="C18" s="1"/>
  <c r="D272"/>
  <c r="D18" s="1"/>
  <c r="F272"/>
  <c r="F18" s="1"/>
  <c r="G272"/>
  <c r="G18" s="1"/>
  <c r="F12" i="6"/>
  <c r="G12"/>
  <c r="R9" i="10" l="1"/>
  <c r="R11"/>
  <c r="R13"/>
  <c r="M16"/>
  <c r="F23" i="9" s="1"/>
  <c r="M18" i="10"/>
  <c r="F27" i="9" s="1"/>
  <c r="M20" i="10"/>
  <c r="F24" i="9" s="1"/>
  <c r="M11" i="10"/>
  <c r="M13"/>
  <c r="E28" i="9"/>
  <c r="M21" i="10"/>
  <c r="F28" i="9" s="1"/>
  <c r="R8" i="10"/>
  <c r="R10"/>
  <c r="R12"/>
  <c r="R14"/>
  <c r="M17"/>
  <c r="F22" i="9" s="1"/>
  <c r="M19" i="10"/>
  <c r="F21" i="9" s="1"/>
  <c r="E12"/>
  <c r="E15"/>
  <c r="E32"/>
  <c r="E40"/>
  <c r="E41"/>
  <c r="M9" i="10"/>
  <c r="M26"/>
  <c r="F35" i="9" s="1"/>
  <c r="E42" s="1"/>
  <c r="M30" i="10"/>
  <c r="F37" i="9" s="1"/>
  <c r="Y47" i="7"/>
  <c r="H45"/>
  <c r="Y61"/>
  <c r="O79"/>
  <c r="J59"/>
  <c r="Y95"/>
  <c r="P95"/>
  <c r="P220"/>
  <c r="P79"/>
  <c r="O130"/>
  <c r="Z130"/>
  <c r="I24" s="1"/>
  <c r="H130"/>
  <c r="P204"/>
  <c r="J309" s="1"/>
  <c r="AA306"/>
  <c r="O306"/>
  <c r="H304"/>
  <c r="W300"/>
  <c r="P340"/>
  <c r="P501"/>
  <c r="AA562"/>
  <c r="O562"/>
  <c r="W556"/>
  <c r="O95"/>
  <c r="J98"/>
  <c r="Y112"/>
  <c r="I122"/>
  <c r="J125"/>
  <c r="O127"/>
  <c r="H169" s="1"/>
  <c r="P148"/>
  <c r="X189"/>
  <c r="I22" s="1"/>
  <c r="O189"/>
  <c r="H189"/>
  <c r="Y204"/>
  <c r="J218"/>
  <c r="X223"/>
  <c r="O223"/>
  <c r="H223"/>
  <c r="X240"/>
  <c r="O240"/>
  <c r="H240"/>
  <c r="J542"/>
  <c r="P562"/>
  <c r="Y127"/>
  <c r="AA157"/>
  <c r="O157"/>
  <c r="J155"/>
  <c r="P157"/>
  <c r="O186"/>
  <c r="Y186"/>
  <c r="H184"/>
  <c r="W176"/>
  <c r="P207"/>
  <c r="J207"/>
  <c r="Y220"/>
  <c r="O237"/>
  <c r="Y237"/>
  <c r="H235"/>
  <c r="W227"/>
  <c r="O254"/>
  <c r="H252"/>
  <c r="W244"/>
  <c r="AA288"/>
  <c r="O288"/>
  <c r="J286"/>
  <c r="O478"/>
  <c r="P544"/>
  <c r="H560"/>
  <c r="W50"/>
  <c r="O61"/>
  <c r="J64"/>
  <c r="H77"/>
  <c r="Y79"/>
  <c r="W82"/>
  <c r="W67"/>
  <c r="H59"/>
  <c r="H64"/>
  <c r="H93"/>
  <c r="H98"/>
  <c r="K108"/>
  <c r="P112" s="1"/>
  <c r="J169" s="1"/>
  <c r="P127"/>
  <c r="P139"/>
  <c r="H155"/>
  <c r="AA166"/>
  <c r="O166"/>
  <c r="W160"/>
  <c r="K249"/>
  <c r="P254" s="1"/>
  <c r="H417"/>
  <c r="Y419"/>
  <c r="H434"/>
  <c r="Y436"/>
  <c r="H451"/>
  <c r="Y453"/>
  <c r="H488"/>
  <c r="H125"/>
  <c r="O139"/>
  <c r="AA139"/>
  <c r="I25" s="1"/>
  <c r="J164"/>
  <c r="O204"/>
  <c r="H218"/>
  <c r="Z270"/>
  <c r="H286"/>
  <c r="J295"/>
  <c r="K322"/>
  <c r="J325" s="1"/>
  <c r="O358"/>
  <c r="H565" s="1"/>
  <c r="W347"/>
  <c r="Y358"/>
  <c r="X375"/>
  <c r="J389"/>
  <c r="Y391"/>
  <c r="K401"/>
  <c r="P405"/>
  <c r="J403"/>
  <c r="O419"/>
  <c r="O436"/>
  <c r="O453"/>
  <c r="Y464"/>
  <c r="H462"/>
  <c r="Y478"/>
  <c r="O513"/>
  <c r="W505"/>
  <c r="J524"/>
  <c r="J551"/>
  <c r="P553"/>
  <c r="W102"/>
  <c r="I26" s="1"/>
  <c r="H110"/>
  <c r="J265"/>
  <c r="H270"/>
  <c r="P279"/>
  <c r="P297"/>
  <c r="K323"/>
  <c r="P327"/>
  <c r="J338"/>
  <c r="Y340"/>
  <c r="H356"/>
  <c r="P361"/>
  <c r="J361"/>
  <c r="P378"/>
  <c r="J378"/>
  <c r="P422"/>
  <c r="J422"/>
  <c r="P439"/>
  <c r="J439"/>
  <c r="W457"/>
  <c r="K486"/>
  <c r="P490" s="1"/>
  <c r="J499"/>
  <c r="X513"/>
  <c r="X516"/>
  <c r="O516"/>
  <c r="H516"/>
  <c r="O526"/>
  <c r="P535"/>
  <c r="O544"/>
  <c r="J560"/>
  <c r="H202"/>
  <c r="J252"/>
  <c r="O267"/>
  <c r="H265"/>
  <c r="H277"/>
  <c r="AA297"/>
  <c r="O297"/>
  <c r="W291"/>
  <c r="H295"/>
  <c r="P306"/>
  <c r="Y327"/>
  <c r="O343"/>
  <c r="H343"/>
  <c r="P358"/>
  <c r="Y405"/>
  <c r="O501"/>
  <c r="J511"/>
  <c r="P513"/>
  <c r="AA535"/>
  <c r="O535"/>
  <c r="O553"/>
  <c r="H338"/>
  <c r="O375"/>
  <c r="H389"/>
  <c r="X490"/>
  <c r="H551"/>
  <c r="H325"/>
  <c r="W395"/>
  <c r="H403"/>
  <c r="H476"/>
  <c r="BY158" i="1"/>
  <c r="P205"/>
  <c r="CP205" s="1"/>
  <c r="O205" s="1"/>
  <c r="CQ205"/>
  <c r="S204"/>
  <c r="CT204"/>
  <c r="BZ210"/>
  <c r="BX158"/>
  <c r="AO210"/>
  <c r="S208"/>
  <c r="CT208"/>
  <c r="X207"/>
  <c r="AD207"/>
  <c r="CY207"/>
  <c r="R207"/>
  <c r="CS207"/>
  <c r="CP206"/>
  <c r="O206" s="1"/>
  <c r="GM206" s="1"/>
  <c r="GP206" s="1"/>
  <c r="BB210"/>
  <c r="AP210"/>
  <c r="CR207"/>
  <c r="AB207"/>
  <c r="Q207"/>
  <c r="Y205"/>
  <c r="CZ205"/>
  <c r="X205"/>
  <c r="CY205"/>
  <c r="CP207"/>
  <c r="O207" s="1"/>
  <c r="GM207" s="1"/>
  <c r="GP207" s="1"/>
  <c r="AB204"/>
  <c r="GM201"/>
  <c r="GN201" s="1"/>
  <c r="GM194"/>
  <c r="GO194" s="1"/>
  <c r="BC210"/>
  <c r="CZ206"/>
  <c r="AD205"/>
  <c r="AB205" s="1"/>
  <c r="CS203"/>
  <c r="R203"/>
  <c r="CZ201"/>
  <c r="GX197"/>
  <c r="R197"/>
  <c r="T196"/>
  <c r="W196"/>
  <c r="S196"/>
  <c r="CT196"/>
  <c r="Q196"/>
  <c r="AB194"/>
  <c r="Y194"/>
  <c r="CZ194"/>
  <c r="CR192"/>
  <c r="AB190"/>
  <c r="Y190"/>
  <c r="GM190" s="1"/>
  <c r="GO190" s="1"/>
  <c r="CZ190"/>
  <c r="CZ189"/>
  <c r="AB188"/>
  <c r="Y188"/>
  <c r="GM188" s="1"/>
  <c r="GO188" s="1"/>
  <c r="CZ188"/>
  <c r="CR186"/>
  <c r="AD186"/>
  <c r="V185"/>
  <c r="CS185"/>
  <c r="AD185"/>
  <c r="P184"/>
  <c r="Q184"/>
  <c r="T183"/>
  <c r="W183"/>
  <c r="S183"/>
  <c r="CT183"/>
  <c r="P182"/>
  <c r="Q182"/>
  <c r="T181"/>
  <c r="W181"/>
  <c r="S181"/>
  <c r="CT181"/>
  <c r="P180"/>
  <c r="Q180"/>
  <c r="T179"/>
  <c r="W179"/>
  <c r="S179"/>
  <c r="CT179"/>
  <c r="P178"/>
  <c r="Q178"/>
  <c r="S177"/>
  <c r="CT177"/>
  <c r="Y203"/>
  <c r="Q203"/>
  <c r="CP203" s="1"/>
  <c r="O203" s="1"/>
  <c r="GM203" s="1"/>
  <c r="GN203" s="1"/>
  <c r="S197"/>
  <c r="CT197"/>
  <c r="P195"/>
  <c r="CQ195"/>
  <c r="X195"/>
  <c r="CY195"/>
  <c r="Y195"/>
  <c r="CZ195"/>
  <c r="AB192"/>
  <c r="R189"/>
  <c r="CS189"/>
  <c r="X189"/>
  <c r="CP189"/>
  <c r="O189" s="1"/>
  <c r="GM189" s="1"/>
  <c r="GO189" s="1"/>
  <c r="AB186"/>
  <c r="AB185"/>
  <c r="X176"/>
  <c r="CY176"/>
  <c r="Y176"/>
  <c r="CZ176"/>
  <c r="S175"/>
  <c r="CT175"/>
  <c r="X174"/>
  <c r="CY174"/>
  <c r="Y174"/>
  <c r="CZ174"/>
  <c r="X171"/>
  <c r="CY171"/>
  <c r="Y171"/>
  <c r="CZ171"/>
  <c r="X169"/>
  <c r="CY169"/>
  <c r="Y169"/>
  <c r="CZ169"/>
  <c r="X166"/>
  <c r="CY166"/>
  <c r="Y166"/>
  <c r="CZ166"/>
  <c r="Q208"/>
  <c r="CP208" s="1"/>
  <c r="O208" s="1"/>
  <c r="Q204"/>
  <c r="CP204" s="1"/>
  <c r="O204" s="1"/>
  <c r="CY203"/>
  <c r="AD203"/>
  <c r="AB203" s="1"/>
  <c r="AB200"/>
  <c r="Y200"/>
  <c r="CZ200"/>
  <c r="AB199"/>
  <c r="CR198"/>
  <c r="AD198"/>
  <c r="CR196"/>
  <c r="CP196"/>
  <c r="O196" s="1"/>
  <c r="AB195"/>
  <c r="AB193"/>
  <c r="Y193"/>
  <c r="CZ193"/>
  <c r="Y192"/>
  <c r="AB191"/>
  <c r="Y191"/>
  <c r="CZ191"/>
  <c r="CR189"/>
  <c r="AD189"/>
  <c r="AB187"/>
  <c r="Y187"/>
  <c r="CZ187"/>
  <c r="R185"/>
  <c r="I186"/>
  <c r="GX186" s="1"/>
  <c r="S185"/>
  <c r="P185"/>
  <c r="CP185" s="1"/>
  <c r="O185" s="1"/>
  <c r="S184"/>
  <c r="CT184"/>
  <c r="P183"/>
  <c r="Q183"/>
  <c r="S182"/>
  <c r="CT182"/>
  <c r="P181"/>
  <c r="Q181"/>
  <c r="S180"/>
  <c r="CT180"/>
  <c r="P179"/>
  <c r="Q179"/>
  <c r="S178"/>
  <c r="CT178"/>
  <c r="BD210"/>
  <c r="I202"/>
  <c r="GX202" s="1"/>
  <c r="AB201"/>
  <c r="X200"/>
  <c r="GM200" s="1"/>
  <c r="GN200" s="1"/>
  <c r="AB198"/>
  <c r="R198"/>
  <c r="I199"/>
  <c r="V199" s="1"/>
  <c r="S198"/>
  <c r="CR197"/>
  <c r="U197"/>
  <c r="GX196"/>
  <c r="R196"/>
  <c r="X193"/>
  <c r="P193"/>
  <c r="CP193" s="1"/>
  <c r="O193" s="1"/>
  <c r="CY192"/>
  <c r="R192"/>
  <c r="CS192"/>
  <c r="CP192"/>
  <c r="O192" s="1"/>
  <c r="X191"/>
  <c r="P191"/>
  <c r="CP191" s="1"/>
  <c r="O191" s="1"/>
  <c r="AB189"/>
  <c r="X187"/>
  <c r="P187"/>
  <c r="CP187" s="1"/>
  <c r="O187" s="1"/>
  <c r="GM187" s="1"/>
  <c r="GO187" s="1"/>
  <c r="V186"/>
  <c r="T185"/>
  <c r="U183"/>
  <c r="U181"/>
  <c r="U179"/>
  <c r="R178"/>
  <c r="P176"/>
  <c r="CP176" s="1"/>
  <c r="O176" s="1"/>
  <c r="GM176" s="1"/>
  <c r="GN176" s="1"/>
  <c r="CQ176"/>
  <c r="AB176"/>
  <c r="CP175"/>
  <c r="O175" s="1"/>
  <c r="CP173"/>
  <c r="O173" s="1"/>
  <c r="X172"/>
  <c r="GM172" s="1"/>
  <c r="GO172" s="1"/>
  <c r="CY172"/>
  <c r="Y172"/>
  <c r="CZ172"/>
  <c r="CP171"/>
  <c r="O171" s="1"/>
  <c r="GM171" s="1"/>
  <c r="GO171" s="1"/>
  <c r="X170"/>
  <c r="GM170" s="1"/>
  <c r="GO170" s="1"/>
  <c r="CY170"/>
  <c r="Y170"/>
  <c r="CZ170"/>
  <c r="CP168"/>
  <c r="O168" s="1"/>
  <c r="X167"/>
  <c r="GM167" s="1"/>
  <c r="GO167" s="1"/>
  <c r="CY167"/>
  <c r="Y167"/>
  <c r="CZ167"/>
  <c r="CP166"/>
  <c r="O166" s="1"/>
  <c r="GM166" s="1"/>
  <c r="GO166" s="1"/>
  <c r="X165"/>
  <c r="CY165"/>
  <c r="Y165"/>
  <c r="CZ165"/>
  <c r="Y106"/>
  <c r="CY106"/>
  <c r="CZ106"/>
  <c r="X106"/>
  <c r="X121"/>
  <c r="CY121"/>
  <c r="Y121"/>
  <c r="CZ121"/>
  <c r="X120"/>
  <c r="CY120"/>
  <c r="Y120"/>
  <c r="CZ120"/>
  <c r="P119"/>
  <c r="Q119"/>
  <c r="S118"/>
  <c r="CT118"/>
  <c r="CS116"/>
  <c r="AD116"/>
  <c r="Q116"/>
  <c r="R113"/>
  <c r="I114"/>
  <c r="S113"/>
  <c r="P113"/>
  <c r="S112"/>
  <c r="CT112"/>
  <c r="AD96"/>
  <c r="CR96"/>
  <c r="Q96"/>
  <c r="CS96"/>
  <c r="P95"/>
  <c r="CQ95"/>
  <c r="AB95"/>
  <c r="Y54"/>
  <c r="CZ54"/>
  <c r="X54"/>
  <c r="CY54"/>
  <c r="Q177"/>
  <c r="CP177" s="1"/>
  <c r="O177" s="1"/>
  <c r="Q174"/>
  <c r="CP174" s="1"/>
  <c r="O174" s="1"/>
  <c r="GM174" s="1"/>
  <c r="GN174" s="1"/>
  <c r="AB173"/>
  <c r="Q169"/>
  <c r="CP169" s="1"/>
  <c r="O169" s="1"/>
  <c r="GM169" s="1"/>
  <c r="GO169" s="1"/>
  <c r="AB168"/>
  <c r="Q165"/>
  <c r="AB164"/>
  <c r="AB163"/>
  <c r="AB162"/>
  <c r="AB161"/>
  <c r="CR160"/>
  <c r="AD160"/>
  <c r="AB160" s="1"/>
  <c r="R160"/>
  <c r="AO126"/>
  <c r="CP123"/>
  <c r="O123" s="1"/>
  <c r="U119"/>
  <c r="CS117"/>
  <c r="AD117"/>
  <c r="CR116"/>
  <c r="AB116"/>
  <c r="GX114"/>
  <c r="CJ126" s="1"/>
  <c r="T113"/>
  <c r="BZ126"/>
  <c r="R111"/>
  <c r="CS111"/>
  <c r="X111"/>
  <c r="AD111"/>
  <c r="CY111"/>
  <c r="CP110"/>
  <c r="O110" s="1"/>
  <c r="R109"/>
  <c r="CS109"/>
  <c r="X109"/>
  <c r="AD109"/>
  <c r="CY109"/>
  <c r="CP108"/>
  <c r="O108" s="1"/>
  <c r="R107"/>
  <c r="CS107"/>
  <c r="X107"/>
  <c r="AD107"/>
  <c r="AB107" s="1"/>
  <c r="CY107"/>
  <c r="CZ100"/>
  <c r="X100"/>
  <c r="CY100"/>
  <c r="AB98"/>
  <c r="CQ98"/>
  <c r="P98"/>
  <c r="CP98" s="1"/>
  <c r="O98" s="1"/>
  <c r="Q195"/>
  <c r="R194"/>
  <c r="R193"/>
  <c r="R191"/>
  <c r="R190"/>
  <c r="R187"/>
  <c r="CQ175"/>
  <c r="CQ174"/>
  <c r="CZ173"/>
  <c r="Y173"/>
  <c r="CQ172"/>
  <c r="CQ171"/>
  <c r="CQ170"/>
  <c r="CQ169"/>
  <c r="CZ168"/>
  <c r="Y168"/>
  <c r="CQ167"/>
  <c r="CQ166"/>
  <c r="CQ165"/>
  <c r="CZ164"/>
  <c r="Y164"/>
  <c r="GM164" s="1"/>
  <c r="GO164" s="1"/>
  <c r="CZ163"/>
  <c r="Y163"/>
  <c r="GM163" s="1"/>
  <c r="GO163" s="1"/>
  <c r="CZ162"/>
  <c r="Y162"/>
  <c r="GM162" s="1"/>
  <c r="GO162" s="1"/>
  <c r="CZ161"/>
  <c r="Y161"/>
  <c r="P161"/>
  <c r="BB126"/>
  <c r="S124"/>
  <c r="CT124"/>
  <c r="Q124"/>
  <c r="AB122"/>
  <c r="P121"/>
  <c r="CQ121"/>
  <c r="AB121"/>
  <c r="P120"/>
  <c r="CQ120"/>
  <c r="AB120"/>
  <c r="T119"/>
  <c r="W119"/>
  <c r="S119"/>
  <c r="CT119"/>
  <c r="CR117"/>
  <c r="AB117"/>
  <c r="R116"/>
  <c r="I117"/>
  <c r="T117" s="1"/>
  <c r="S116"/>
  <c r="P116"/>
  <c r="S115"/>
  <c r="CT115"/>
  <c r="T114"/>
  <c r="V113"/>
  <c r="CS113"/>
  <c r="AD113"/>
  <c r="Q113"/>
  <c r="CR111"/>
  <c r="AB111"/>
  <c r="Q111"/>
  <c r="CR109"/>
  <c r="AB109"/>
  <c r="Q109"/>
  <c r="CP109" s="1"/>
  <c r="O109" s="1"/>
  <c r="GM109" s="1"/>
  <c r="GO109" s="1"/>
  <c r="CR107"/>
  <c r="Q107"/>
  <c r="CQ104"/>
  <c r="AB104"/>
  <c r="CP102"/>
  <c r="O102" s="1"/>
  <c r="R96"/>
  <c r="AO26"/>
  <c r="F65"/>
  <c r="BZ26"/>
  <c r="AQ61"/>
  <c r="AD45"/>
  <c r="AB45" s="1"/>
  <c r="CR45"/>
  <c r="CS45"/>
  <c r="CT174"/>
  <c r="CY173"/>
  <c r="CQ173"/>
  <c r="CT172"/>
  <c r="CT171"/>
  <c r="CT170"/>
  <c r="CT169"/>
  <c r="CY168"/>
  <c r="CQ168"/>
  <c r="CT167"/>
  <c r="CT166"/>
  <c r="CT165"/>
  <c r="CY164"/>
  <c r="CQ164"/>
  <c r="CY163"/>
  <c r="CQ163"/>
  <c r="CY162"/>
  <c r="CQ162"/>
  <c r="CY161"/>
  <c r="S160"/>
  <c r="CT160"/>
  <c r="CP160"/>
  <c r="O160" s="1"/>
  <c r="CP124"/>
  <c r="O124" s="1"/>
  <c r="R123"/>
  <c r="CS123"/>
  <c r="X123"/>
  <c r="AD123"/>
  <c r="AB123" s="1"/>
  <c r="CP122"/>
  <c r="O122" s="1"/>
  <c r="GM122" s="1"/>
  <c r="GP122" s="1"/>
  <c r="GX119"/>
  <c r="R119"/>
  <c r="GX117"/>
  <c r="V114"/>
  <c r="CS114"/>
  <c r="AD114"/>
  <c r="AB114" s="1"/>
  <c r="W113"/>
  <c r="AB113"/>
  <c r="Y111"/>
  <c r="CP111"/>
  <c r="O111" s="1"/>
  <c r="GM111" s="1"/>
  <c r="GO111" s="1"/>
  <c r="R110"/>
  <c r="CS110"/>
  <c r="X110"/>
  <c r="AD110"/>
  <c r="AB110" s="1"/>
  <c r="CY110"/>
  <c r="Y109"/>
  <c r="R108"/>
  <c r="CS108"/>
  <c r="X108"/>
  <c r="AD108"/>
  <c r="AB108" s="1"/>
  <c r="CY108"/>
  <c r="Y107"/>
  <c r="CP107"/>
  <c r="O107" s="1"/>
  <c r="CS106"/>
  <c r="AD106"/>
  <c r="AB106" s="1"/>
  <c r="Q106"/>
  <c r="R106"/>
  <c r="W106"/>
  <c r="CT105"/>
  <c r="S105"/>
  <c r="AB105"/>
  <c r="Y104"/>
  <c r="CZ104"/>
  <c r="X104"/>
  <c r="GM104" s="1"/>
  <c r="GO104" s="1"/>
  <c r="Y100"/>
  <c r="P58"/>
  <c r="CP58" s="1"/>
  <c r="O58" s="1"/>
  <c r="CQ58"/>
  <c r="Q118"/>
  <c r="CP118" s="1"/>
  <c r="O118" s="1"/>
  <c r="Q115"/>
  <c r="CP115" s="1"/>
  <c r="O115" s="1"/>
  <c r="Q112"/>
  <c r="CP112" s="1"/>
  <c r="O112" s="1"/>
  <c r="S103"/>
  <c r="CT103"/>
  <c r="CP103"/>
  <c r="O103" s="1"/>
  <c r="R101"/>
  <c r="CS101"/>
  <c r="Q101"/>
  <c r="CP101" s="1"/>
  <c r="O101" s="1"/>
  <c r="GM101" s="1"/>
  <c r="GO101" s="1"/>
  <c r="AD101"/>
  <c r="AB101" s="1"/>
  <c r="R100"/>
  <c r="CS100"/>
  <c r="Q100"/>
  <c r="Y97"/>
  <c r="CZ97"/>
  <c r="CY97"/>
  <c r="P96"/>
  <c r="CQ96"/>
  <c r="AB96"/>
  <c r="CB61"/>
  <c r="CS49"/>
  <c r="AD49"/>
  <c r="CR49"/>
  <c r="AD46"/>
  <c r="AB46" s="1"/>
  <c r="CR46"/>
  <c r="CS46"/>
  <c r="BD126"/>
  <c r="Q121"/>
  <c r="Q120"/>
  <c r="P106"/>
  <c r="CP106" s="1"/>
  <c r="O106" s="1"/>
  <c r="GM106" s="1"/>
  <c r="GO106" s="1"/>
  <c r="U105"/>
  <c r="R105"/>
  <c r="AB102"/>
  <c r="CR101"/>
  <c r="CQ101"/>
  <c r="CR100"/>
  <c r="AD100"/>
  <c r="R99"/>
  <c r="CS99"/>
  <c r="AB97"/>
  <c r="X95"/>
  <c r="CY95"/>
  <c r="Y95"/>
  <c r="CZ95"/>
  <c r="CM26"/>
  <c r="BD61"/>
  <c r="BX26"/>
  <c r="CG61"/>
  <c r="Y58"/>
  <c r="CZ58"/>
  <c r="X58"/>
  <c r="CY58"/>
  <c r="P45"/>
  <c r="R45"/>
  <c r="Q45"/>
  <c r="U45"/>
  <c r="BC126"/>
  <c r="CZ122"/>
  <c r="CR103"/>
  <c r="AD103"/>
  <c r="AB103" s="1"/>
  <c r="Y101"/>
  <c r="CR99"/>
  <c r="AD99"/>
  <c r="AB99" s="1"/>
  <c r="Y99"/>
  <c r="CY99"/>
  <c r="CZ99"/>
  <c r="X97"/>
  <c r="U96"/>
  <c r="S96"/>
  <c r="R95"/>
  <c r="S57"/>
  <c r="CP57" s="1"/>
  <c r="O57" s="1"/>
  <c r="CT57"/>
  <c r="R55"/>
  <c r="CS55"/>
  <c r="Y55"/>
  <c r="CZ55"/>
  <c r="AD55"/>
  <c r="Q55"/>
  <c r="AB54"/>
  <c r="CQ54"/>
  <c r="P54"/>
  <c r="CP54" s="1"/>
  <c r="O54" s="1"/>
  <c r="GM54" s="1"/>
  <c r="GO54" s="1"/>
  <c r="Q46"/>
  <c r="CP55"/>
  <c r="O55" s="1"/>
  <c r="FR55"/>
  <c r="P47"/>
  <c r="CQ47"/>
  <c r="P46"/>
  <c r="U46"/>
  <c r="R46"/>
  <c r="S43"/>
  <c r="CT43"/>
  <c r="P39"/>
  <c r="CQ39"/>
  <c r="X38"/>
  <c r="CY38"/>
  <c r="CZ38"/>
  <c r="Y38"/>
  <c r="P99"/>
  <c r="CP99" s="1"/>
  <c r="O99" s="1"/>
  <c r="GM99" s="1"/>
  <c r="GO99" s="1"/>
  <c r="P97"/>
  <c r="CP97" s="1"/>
  <c r="O97" s="1"/>
  <c r="T96"/>
  <c r="T95"/>
  <c r="AB59"/>
  <c r="Y59"/>
  <c r="CZ59"/>
  <c r="R56"/>
  <c r="CS56"/>
  <c r="X56"/>
  <c r="Q56"/>
  <c r="AB55"/>
  <c r="AB52"/>
  <c r="Y52"/>
  <c r="CZ52"/>
  <c r="AB47"/>
  <c r="AD43"/>
  <c r="AB43" s="1"/>
  <c r="CR43"/>
  <c r="CS43"/>
  <c r="Q43"/>
  <c r="R43"/>
  <c r="P43"/>
  <c r="R102"/>
  <c r="CS102"/>
  <c r="X102"/>
  <c r="AB100"/>
  <c r="P100"/>
  <c r="CP100" s="1"/>
  <c r="O100" s="1"/>
  <c r="GM100" s="1"/>
  <c r="GO100" s="1"/>
  <c r="R98"/>
  <c r="CS98"/>
  <c r="X98"/>
  <c r="BC61"/>
  <c r="X59"/>
  <c r="GM59" s="1"/>
  <c r="GP59" s="1"/>
  <c r="CP56"/>
  <c r="O56" s="1"/>
  <c r="GM56" s="1"/>
  <c r="GP56" s="1"/>
  <c r="AB53"/>
  <c r="Y53"/>
  <c r="GM53" s="1"/>
  <c r="GO53" s="1"/>
  <c r="CZ53"/>
  <c r="X52"/>
  <c r="GM52" s="1"/>
  <c r="GO52" s="1"/>
  <c r="CS48"/>
  <c r="AD48"/>
  <c r="CR48"/>
  <c r="Q48"/>
  <c r="CP48" s="1"/>
  <c r="O48" s="1"/>
  <c r="X47"/>
  <c r="CY47"/>
  <c r="Y47"/>
  <c r="CZ47"/>
  <c r="W46"/>
  <c r="S46"/>
  <c r="CT46"/>
  <c r="AD44"/>
  <c r="AB44" s="1"/>
  <c r="CR44"/>
  <c r="P44"/>
  <c r="CP44" s="1"/>
  <c r="O44" s="1"/>
  <c r="Q44"/>
  <c r="T44"/>
  <c r="R44"/>
  <c r="T43"/>
  <c r="AD40"/>
  <c r="R40"/>
  <c r="CS40"/>
  <c r="Q40"/>
  <c r="CR40"/>
  <c r="CZ40"/>
  <c r="X36"/>
  <c r="CY36"/>
  <c r="CZ36"/>
  <c r="AD58"/>
  <c r="AB58" s="1"/>
  <c r="S50"/>
  <c r="CT50"/>
  <c r="AB48"/>
  <c r="R48"/>
  <c r="I49"/>
  <c r="S48"/>
  <c r="GX46"/>
  <c r="T45"/>
  <c r="W45"/>
  <c r="S45"/>
  <c r="CT45"/>
  <c r="AD39"/>
  <c r="AB39" s="1"/>
  <c r="R39"/>
  <c r="CS39"/>
  <c r="Q39"/>
  <c r="P36"/>
  <c r="CQ36"/>
  <c r="S31"/>
  <c r="CT31"/>
  <c r="AB31"/>
  <c r="BB61"/>
  <c r="S51"/>
  <c r="CP51" s="1"/>
  <c r="O51" s="1"/>
  <c r="CT51"/>
  <c r="AB49"/>
  <c r="GX45"/>
  <c r="U44"/>
  <c r="X39"/>
  <c r="CY39"/>
  <c r="Y39"/>
  <c r="P38"/>
  <c r="CP38" s="1"/>
  <c r="O38" s="1"/>
  <c r="GM38" s="1"/>
  <c r="GO38" s="1"/>
  <c r="CQ38"/>
  <c r="Q47"/>
  <c r="S42"/>
  <c r="CT42"/>
  <c r="AD41"/>
  <c r="R41"/>
  <c r="CS41"/>
  <c r="P40"/>
  <c r="CQ40"/>
  <c r="AB40"/>
  <c r="X40"/>
  <c r="CY40"/>
  <c r="AD37"/>
  <c r="R37"/>
  <c r="CS37"/>
  <c r="P30"/>
  <c r="Q30"/>
  <c r="R30"/>
  <c r="W44"/>
  <c r="S44"/>
  <c r="CP42"/>
  <c r="O42" s="1"/>
  <c r="CZ41"/>
  <c r="CR41"/>
  <c r="P41"/>
  <c r="CP41" s="1"/>
  <c r="O41" s="1"/>
  <c r="CQ41"/>
  <c r="AB41"/>
  <c r="X41"/>
  <c r="CY41"/>
  <c r="Y40"/>
  <c r="AD38"/>
  <c r="AB38" s="1"/>
  <c r="R38"/>
  <c r="CS38"/>
  <c r="CZ37"/>
  <c r="CR37"/>
  <c r="P37"/>
  <c r="CP37" s="1"/>
  <c r="O37" s="1"/>
  <c r="CQ37"/>
  <c r="AB37"/>
  <c r="X37"/>
  <c r="CY37"/>
  <c r="AD36"/>
  <c r="AB36" s="1"/>
  <c r="R36"/>
  <c r="CS36"/>
  <c r="S35"/>
  <c r="CT35"/>
  <c r="AB35"/>
  <c r="CP35"/>
  <c r="O35" s="1"/>
  <c r="AD30"/>
  <c r="AB30" s="1"/>
  <c r="CR30"/>
  <c r="S34"/>
  <c r="CT34"/>
  <c r="S32"/>
  <c r="CT32"/>
  <c r="Q32"/>
  <c r="CP31"/>
  <c r="O31" s="1"/>
  <c r="GX29"/>
  <c r="R29"/>
  <c r="S28"/>
  <c r="CT28"/>
  <c r="S33"/>
  <c r="CT33"/>
  <c r="CP33"/>
  <c r="O33" s="1"/>
  <c r="CP32"/>
  <c r="O32" s="1"/>
  <c r="GX30"/>
  <c r="T29"/>
  <c r="W29"/>
  <c r="S29"/>
  <c r="CT29"/>
  <c r="Q29"/>
  <c r="DF1" i="3"/>
  <c r="DJ1" s="1"/>
  <c r="DG1"/>
  <c r="DH1"/>
  <c r="DI1"/>
  <c r="T30" i="1"/>
  <c r="W30"/>
  <c r="S30"/>
  <c r="CT30"/>
  <c r="CP28"/>
  <c r="O28" s="1"/>
  <c r="DG2" i="3"/>
  <c r="Q28" i="1"/>
  <c r="F11" i="9" l="1"/>
  <c r="E13" s="1"/>
  <c r="E29"/>
  <c r="E25"/>
  <c r="J569" i="7"/>
  <c r="J565"/>
  <c r="J110"/>
  <c r="H569"/>
  <c r="H309"/>
  <c r="J488"/>
  <c r="I23"/>
  <c r="I21" s="1"/>
  <c r="CJ93" i="1"/>
  <c r="BA126"/>
  <c r="X30"/>
  <c r="CY30"/>
  <c r="Y30"/>
  <c r="CZ30"/>
  <c r="Y33"/>
  <c r="CY33"/>
  <c r="CZ33"/>
  <c r="X33"/>
  <c r="X32"/>
  <c r="CY32"/>
  <c r="CZ32"/>
  <c r="Y32"/>
  <c r="X35"/>
  <c r="CY35"/>
  <c r="Y35"/>
  <c r="CZ35"/>
  <c r="GM37"/>
  <c r="GO37" s="1"/>
  <c r="Y42"/>
  <c r="CZ42"/>
  <c r="X42"/>
  <c r="CY42"/>
  <c r="R49"/>
  <c r="S49"/>
  <c r="T49"/>
  <c r="Q49"/>
  <c r="GX49"/>
  <c r="CJ61" s="1"/>
  <c r="P49"/>
  <c r="CP49" s="1"/>
  <c r="O49" s="1"/>
  <c r="U49"/>
  <c r="X46"/>
  <c r="CY46"/>
  <c r="Y46"/>
  <c r="CZ46"/>
  <c r="BC26"/>
  <c r="F77"/>
  <c r="BC240"/>
  <c r="W49"/>
  <c r="CP39"/>
  <c r="O39" s="1"/>
  <c r="GM39" s="1"/>
  <c r="GO39" s="1"/>
  <c r="X96"/>
  <c r="CY96"/>
  <c r="Y96"/>
  <c r="CZ96"/>
  <c r="BC93"/>
  <c r="F142"/>
  <c r="CP45"/>
  <c r="O45" s="1"/>
  <c r="CB26"/>
  <c r="AS61"/>
  <c r="X103"/>
  <c r="Y103"/>
  <c r="CY103"/>
  <c r="CZ103"/>
  <c r="GM107"/>
  <c r="GO107" s="1"/>
  <c r="CZ160"/>
  <c r="X160"/>
  <c r="Y160"/>
  <c r="CY160"/>
  <c r="AQ26"/>
  <c r="F71"/>
  <c r="X116"/>
  <c r="CY116"/>
  <c r="Y116"/>
  <c r="CZ116"/>
  <c r="X119"/>
  <c r="CY119"/>
  <c r="Y119"/>
  <c r="CZ119"/>
  <c r="CP121"/>
  <c r="O121" s="1"/>
  <c r="GM121" s="1"/>
  <c r="GP121" s="1"/>
  <c r="X124"/>
  <c r="CY124"/>
  <c r="CZ124"/>
  <c r="Y124"/>
  <c r="GM110"/>
  <c r="GO110" s="1"/>
  <c r="AO93"/>
  <c r="F130"/>
  <c r="AO240"/>
  <c r="CP95"/>
  <c r="O95" s="1"/>
  <c r="AC126"/>
  <c r="R114"/>
  <c r="S114"/>
  <c r="P114"/>
  <c r="Q114"/>
  <c r="AD126" s="1"/>
  <c r="CP119"/>
  <c r="O119" s="1"/>
  <c r="GM119" s="1"/>
  <c r="GN119" s="1"/>
  <c r="BD158"/>
  <c r="F235"/>
  <c r="U114"/>
  <c r="CP195"/>
  <c r="O195" s="1"/>
  <c r="GM195" s="1"/>
  <c r="GO195" s="1"/>
  <c r="W199"/>
  <c r="X177"/>
  <c r="GM177" s="1"/>
  <c r="GO177" s="1"/>
  <c r="CY177"/>
  <c r="Y177"/>
  <c r="CZ177"/>
  <c r="X179"/>
  <c r="CY179"/>
  <c r="Y179"/>
  <c r="CZ179"/>
  <c r="CP180"/>
  <c r="O180" s="1"/>
  <c r="X183"/>
  <c r="CY183"/>
  <c r="Y183"/>
  <c r="CZ183"/>
  <c r="CP184"/>
  <c r="O184" s="1"/>
  <c r="X196"/>
  <c r="CY196"/>
  <c r="CZ196"/>
  <c r="Y196"/>
  <c r="U186"/>
  <c r="AP158"/>
  <c r="F219"/>
  <c r="V202"/>
  <c r="AI210" s="1"/>
  <c r="GM205"/>
  <c r="GP205" s="1"/>
  <c r="GM28"/>
  <c r="X29"/>
  <c r="CY29"/>
  <c r="CZ29"/>
  <c r="Y29"/>
  <c r="GM35"/>
  <c r="GO35" s="1"/>
  <c r="AH61"/>
  <c r="FR36"/>
  <c r="CP36"/>
  <c r="O36" s="1"/>
  <c r="GM36" s="1"/>
  <c r="CZ50"/>
  <c r="CY50"/>
  <c r="X50"/>
  <c r="Y50"/>
  <c r="CP43"/>
  <c r="O43" s="1"/>
  <c r="AG126"/>
  <c r="CP46"/>
  <c r="O46" s="1"/>
  <c r="GM46" s="1"/>
  <c r="GO46" s="1"/>
  <c r="GM55"/>
  <c r="CG26"/>
  <c r="AX61"/>
  <c r="Y105"/>
  <c r="CZ105"/>
  <c r="CY105"/>
  <c r="X105"/>
  <c r="GM124"/>
  <c r="GP124" s="1"/>
  <c r="CP105"/>
  <c r="O105" s="1"/>
  <c r="GM105" s="1"/>
  <c r="GO105" s="1"/>
  <c r="R117"/>
  <c r="S117"/>
  <c r="P117"/>
  <c r="Q117"/>
  <c r="U117"/>
  <c r="AH126" s="1"/>
  <c r="W117"/>
  <c r="FR120"/>
  <c r="BY126" s="1"/>
  <c r="CP120"/>
  <c r="O120" s="1"/>
  <c r="GM120" s="1"/>
  <c r="BB93"/>
  <c r="F139"/>
  <c r="V117"/>
  <c r="AI126" s="1"/>
  <c r="X112"/>
  <c r="GM112" s="1"/>
  <c r="GN112" s="1"/>
  <c r="CY112"/>
  <c r="Y112"/>
  <c r="CZ112"/>
  <c r="GM191"/>
  <c r="GO191" s="1"/>
  <c r="X198"/>
  <c r="CY198"/>
  <c r="Y198"/>
  <c r="CZ198"/>
  <c r="CP179"/>
  <c r="O179" s="1"/>
  <c r="GM179" s="1"/>
  <c r="GO179" s="1"/>
  <c r="CP181"/>
  <c r="O181" s="1"/>
  <c r="CP183"/>
  <c r="O183" s="1"/>
  <c r="GM183" s="1"/>
  <c r="GO183" s="1"/>
  <c r="X185"/>
  <c r="GM185" s="1"/>
  <c r="GO185" s="1"/>
  <c r="CZ185"/>
  <c r="Y185"/>
  <c r="CY185"/>
  <c r="GM196"/>
  <c r="GO196" s="1"/>
  <c r="BB158"/>
  <c r="F223"/>
  <c r="X208"/>
  <c r="GM208" s="1"/>
  <c r="GP208" s="1"/>
  <c r="CY208"/>
  <c r="Y208"/>
  <c r="CZ208"/>
  <c r="GM32"/>
  <c r="GO32" s="1"/>
  <c r="AJ61"/>
  <c r="X28"/>
  <c r="CY28"/>
  <c r="Y28"/>
  <c r="CZ28"/>
  <c r="AF61"/>
  <c r="X34"/>
  <c r="Y34"/>
  <c r="CY34"/>
  <c r="CZ34"/>
  <c r="CP34"/>
  <c r="O34" s="1"/>
  <c r="X43"/>
  <c r="CZ43"/>
  <c r="CY43"/>
  <c r="Y43"/>
  <c r="X57"/>
  <c r="GM57" s="1"/>
  <c r="GP57" s="1"/>
  <c r="CD61" s="1"/>
  <c r="CY57"/>
  <c r="CZ57"/>
  <c r="Y57"/>
  <c r="GM103"/>
  <c r="GM58"/>
  <c r="GP58" s="1"/>
  <c r="GM160"/>
  <c r="GM102"/>
  <c r="GO102" s="1"/>
  <c r="X115"/>
  <c r="GM115" s="1"/>
  <c r="GN115" s="1"/>
  <c r="CY115"/>
  <c r="Y115"/>
  <c r="CZ115"/>
  <c r="CP161"/>
  <c r="O161" s="1"/>
  <c r="GM161" s="1"/>
  <c r="GO161" s="1"/>
  <c r="GM108"/>
  <c r="GO108" s="1"/>
  <c r="BZ93"/>
  <c r="AQ126"/>
  <c r="AQ240" s="1"/>
  <c r="CG126"/>
  <c r="CP113"/>
  <c r="O113" s="1"/>
  <c r="X118"/>
  <c r="GM118" s="1"/>
  <c r="GN118" s="1"/>
  <c r="CY118"/>
  <c r="Y118"/>
  <c r="CZ118"/>
  <c r="GM173"/>
  <c r="GO173" s="1"/>
  <c r="R199"/>
  <c r="S199"/>
  <c r="Q199"/>
  <c r="T199"/>
  <c r="GX199"/>
  <c r="CJ210" s="1"/>
  <c r="P199"/>
  <c r="R186"/>
  <c r="AE210" s="1"/>
  <c r="S186"/>
  <c r="P186"/>
  <c r="CP186" s="1"/>
  <c r="O186" s="1"/>
  <c r="Q186"/>
  <c r="AD210" s="1"/>
  <c r="T186"/>
  <c r="AG210" s="1"/>
  <c r="CP165"/>
  <c r="O165" s="1"/>
  <c r="GM165" s="1"/>
  <c r="GO165" s="1"/>
  <c r="X197"/>
  <c r="CY197"/>
  <c r="CZ197"/>
  <c r="Y197"/>
  <c r="CP178"/>
  <c r="O178" s="1"/>
  <c r="GM178" s="1"/>
  <c r="GO178" s="1"/>
  <c r="X181"/>
  <c r="CY181"/>
  <c r="Y181"/>
  <c r="CZ181"/>
  <c r="CP182"/>
  <c r="O182" s="1"/>
  <c r="W186"/>
  <c r="AJ210" s="1"/>
  <c r="U199"/>
  <c r="AH210" s="1"/>
  <c r="AO158"/>
  <c r="F214"/>
  <c r="BZ158"/>
  <c r="AQ210"/>
  <c r="CG210"/>
  <c r="X204"/>
  <c r="GM204" s="1"/>
  <c r="GO204" s="1"/>
  <c r="CY204"/>
  <c r="Y204"/>
  <c r="CZ204"/>
  <c r="CI210"/>
  <c r="CP29"/>
  <c r="O29" s="1"/>
  <c r="GM29" s="1"/>
  <c r="GO29" s="1"/>
  <c r="GM33"/>
  <c r="GO33" s="1"/>
  <c r="GM42"/>
  <c r="GO42" s="1"/>
  <c r="CZ51"/>
  <c r="Y51"/>
  <c r="CY51"/>
  <c r="X51"/>
  <c r="GM51" s="1"/>
  <c r="GO51" s="1"/>
  <c r="X31"/>
  <c r="GM31" s="1"/>
  <c r="GO31" s="1"/>
  <c r="CY31"/>
  <c r="CZ31"/>
  <c r="Y31"/>
  <c r="AD61"/>
  <c r="AG61"/>
  <c r="AE61"/>
  <c r="GM41"/>
  <c r="GO41" s="1"/>
  <c r="CY44"/>
  <c r="CZ44"/>
  <c r="X44"/>
  <c r="GM44" s="1"/>
  <c r="GO44" s="1"/>
  <c r="Y44"/>
  <c r="CP30"/>
  <c r="O30" s="1"/>
  <c r="GM30" s="1"/>
  <c r="GO30" s="1"/>
  <c r="AC61"/>
  <c r="CP40"/>
  <c r="O40" s="1"/>
  <c r="GM40" s="1"/>
  <c r="GO40" s="1"/>
  <c r="BB26"/>
  <c r="F74"/>
  <c r="BB240"/>
  <c r="X45"/>
  <c r="CY45"/>
  <c r="Y45"/>
  <c r="CZ45"/>
  <c r="X48"/>
  <c r="GM48" s="1"/>
  <c r="GO48" s="1"/>
  <c r="Y48"/>
  <c r="CY48"/>
  <c r="CZ48"/>
  <c r="CP50"/>
  <c r="O50" s="1"/>
  <c r="GM50" s="1"/>
  <c r="GO50" s="1"/>
  <c r="GM97"/>
  <c r="GN97" s="1"/>
  <c r="FR47"/>
  <c r="CP47"/>
  <c r="O47" s="1"/>
  <c r="GM47" s="1"/>
  <c r="AE126"/>
  <c r="BD26"/>
  <c r="F86"/>
  <c r="BD240"/>
  <c r="BD93"/>
  <c r="F151"/>
  <c r="V49"/>
  <c r="AI61" s="1"/>
  <c r="CP96"/>
  <c r="O96" s="1"/>
  <c r="GM96" s="1"/>
  <c r="GO96" s="1"/>
  <c r="CP116"/>
  <c r="O116" s="1"/>
  <c r="GM116" s="1"/>
  <c r="GO116" s="1"/>
  <c r="GM98"/>
  <c r="GO98" s="1"/>
  <c r="GM123"/>
  <c r="GP123" s="1"/>
  <c r="X113"/>
  <c r="CY113"/>
  <c r="CZ113"/>
  <c r="Y113"/>
  <c r="W114"/>
  <c r="AJ126" s="1"/>
  <c r="GM168"/>
  <c r="GO168" s="1"/>
  <c r="GM192"/>
  <c r="GO192" s="1"/>
  <c r="GM193"/>
  <c r="GO193" s="1"/>
  <c r="R202"/>
  <c r="S202"/>
  <c r="P202"/>
  <c r="Q202"/>
  <c r="X178"/>
  <c r="CY178"/>
  <c r="Y178"/>
  <c r="CZ178"/>
  <c r="X180"/>
  <c r="CY180"/>
  <c r="Y180"/>
  <c r="CZ180"/>
  <c r="X182"/>
  <c r="CY182"/>
  <c r="Y182"/>
  <c r="CZ182"/>
  <c r="X184"/>
  <c r="CY184"/>
  <c r="Y184"/>
  <c r="CZ184"/>
  <c r="CP197"/>
  <c r="O197" s="1"/>
  <c r="X175"/>
  <c r="GM175" s="1"/>
  <c r="GN175" s="1"/>
  <c r="CY175"/>
  <c r="Y175"/>
  <c r="CZ175"/>
  <c r="CP198"/>
  <c r="O198" s="1"/>
  <c r="GM198" s="1"/>
  <c r="GN198" s="1"/>
  <c r="BC158"/>
  <c r="F226"/>
  <c r="T202"/>
  <c r="U202"/>
  <c r="W202"/>
  <c r="AJ93" l="1"/>
  <c r="W126"/>
  <c r="AE158"/>
  <c r="R210"/>
  <c r="CD26"/>
  <c r="AU61"/>
  <c r="AI93"/>
  <c r="V126"/>
  <c r="CJ158"/>
  <c r="BA210"/>
  <c r="AQ22"/>
  <c r="F250"/>
  <c r="AQ272"/>
  <c r="AI158"/>
  <c r="V210"/>
  <c r="AD93"/>
  <c r="Q126"/>
  <c r="AJ158"/>
  <c r="W210"/>
  <c r="AG158"/>
  <c r="T210"/>
  <c r="CJ26"/>
  <c r="BA61"/>
  <c r="AD158"/>
  <c r="Q210"/>
  <c r="AH158"/>
  <c r="U210"/>
  <c r="AH93"/>
  <c r="U126"/>
  <c r="GM45"/>
  <c r="GO45" s="1"/>
  <c r="AE93"/>
  <c r="R126"/>
  <c r="GM197"/>
  <c r="GO197" s="1"/>
  <c r="BD22"/>
  <c r="BD272"/>
  <c r="F265"/>
  <c r="BB22"/>
  <c r="F253"/>
  <c r="BB272"/>
  <c r="AC26"/>
  <c r="CF61"/>
  <c r="CE61"/>
  <c r="P61"/>
  <c r="AG26"/>
  <c r="T61"/>
  <c r="X186"/>
  <c r="CY186"/>
  <c r="Y186"/>
  <c r="GM186" s="1"/>
  <c r="GO186" s="1"/>
  <c r="CZ186"/>
  <c r="AF26"/>
  <c r="S61"/>
  <c r="AK61"/>
  <c r="GM181"/>
  <c r="GO181" s="1"/>
  <c r="GM43"/>
  <c r="GO43" s="1"/>
  <c r="CD210"/>
  <c r="CP114"/>
  <c r="O114" s="1"/>
  <c r="AB126" s="1"/>
  <c r="GM95"/>
  <c r="AS26"/>
  <c r="F78"/>
  <c r="F146"/>
  <c r="BA93"/>
  <c r="AE26"/>
  <c r="R61"/>
  <c r="F136"/>
  <c r="AQ93"/>
  <c r="GM34"/>
  <c r="GO34" s="1"/>
  <c r="AH26"/>
  <c r="U61"/>
  <c r="GO28"/>
  <c r="AD26"/>
  <c r="Q61"/>
  <c r="CI158"/>
  <c r="AZ210"/>
  <c r="GM182"/>
  <c r="GO182" s="1"/>
  <c r="GM113"/>
  <c r="GO113" s="1"/>
  <c r="AJ26"/>
  <c r="W61"/>
  <c r="BY93"/>
  <c r="CI126"/>
  <c r="AP126"/>
  <c r="CP117"/>
  <c r="O117" s="1"/>
  <c r="GM184"/>
  <c r="GO184" s="1"/>
  <c r="X114"/>
  <c r="AK126" s="1"/>
  <c r="CY114"/>
  <c r="CZ114"/>
  <c r="Y114"/>
  <c r="AL126" s="1"/>
  <c r="AK210"/>
  <c r="BC22"/>
  <c r="BC272"/>
  <c r="F256"/>
  <c r="X202"/>
  <c r="CY202"/>
  <c r="Y202"/>
  <c r="CZ202"/>
  <c r="AQ158"/>
  <c r="F220"/>
  <c r="T126"/>
  <c r="AG93"/>
  <c r="AC93"/>
  <c r="CH126"/>
  <c r="P126"/>
  <c r="CE126"/>
  <c r="CF126"/>
  <c r="AI26"/>
  <c r="V61"/>
  <c r="CP202"/>
  <c r="O202" s="1"/>
  <c r="GM202" s="1"/>
  <c r="GN202" s="1"/>
  <c r="CB126"/>
  <c r="CG158"/>
  <c r="AX210"/>
  <c r="CP199"/>
  <c r="O199" s="1"/>
  <c r="GM199" s="1"/>
  <c r="GN199" s="1"/>
  <c r="CB210" s="1"/>
  <c r="Y199"/>
  <c r="CZ199"/>
  <c r="X199"/>
  <c r="CY199"/>
  <c r="CG93"/>
  <c r="AX126"/>
  <c r="AC210"/>
  <c r="GO160"/>
  <c r="X117"/>
  <c r="CY117"/>
  <c r="Y117"/>
  <c r="CZ117"/>
  <c r="AX26"/>
  <c r="F68"/>
  <c r="BY61"/>
  <c r="AB61"/>
  <c r="GM180"/>
  <c r="GO180" s="1"/>
  <c r="AO22"/>
  <c r="AO272"/>
  <c r="F244"/>
  <c r="CD126"/>
  <c r="AF210"/>
  <c r="AF126"/>
  <c r="Y49"/>
  <c r="GM49" s="1"/>
  <c r="CZ49"/>
  <c r="X49"/>
  <c r="CY49"/>
  <c r="O126" l="1"/>
  <c r="AB93"/>
  <c r="AK93"/>
  <c r="X126"/>
  <c r="CB158"/>
  <c r="AS210"/>
  <c r="GO49"/>
  <c r="CA61"/>
  <c r="AL93"/>
  <c r="Y126"/>
  <c r="AB210"/>
  <c r="CF26"/>
  <c r="AW61"/>
  <c r="AC158"/>
  <c r="P210"/>
  <c r="CE210"/>
  <c r="CH210"/>
  <c r="CF210"/>
  <c r="AX158"/>
  <c r="F217"/>
  <c r="F84"/>
  <c r="V26"/>
  <c r="V240"/>
  <c r="P93"/>
  <c r="F129"/>
  <c r="T93"/>
  <c r="F147"/>
  <c r="Q26"/>
  <c r="F73"/>
  <c r="Q240"/>
  <c r="U26"/>
  <c r="F83"/>
  <c r="U240"/>
  <c r="AL210"/>
  <c r="CD158"/>
  <c r="AU210"/>
  <c r="S26"/>
  <c r="F76"/>
  <c r="P26"/>
  <c r="F64"/>
  <c r="P240"/>
  <c r="R93"/>
  <c r="F140"/>
  <c r="U93"/>
  <c r="F148"/>
  <c r="BA158"/>
  <c r="F230"/>
  <c r="AU26"/>
  <c r="F80"/>
  <c r="AU240"/>
  <c r="CD93"/>
  <c r="AU126"/>
  <c r="CC210"/>
  <c r="CE93"/>
  <c r="AV126"/>
  <c r="CI93"/>
  <c r="AZ126"/>
  <c r="AK26"/>
  <c r="X61"/>
  <c r="AB26"/>
  <c r="O61"/>
  <c r="S126"/>
  <c r="AF93"/>
  <c r="AO18"/>
  <c r="F276"/>
  <c r="BY26"/>
  <c r="AP61"/>
  <c r="CI61"/>
  <c r="AL61"/>
  <c r="AX93"/>
  <c r="F133"/>
  <c r="CH93"/>
  <c r="AY126"/>
  <c r="BC18"/>
  <c r="F288"/>
  <c r="GM117"/>
  <c r="GO117" s="1"/>
  <c r="W26"/>
  <c r="F85"/>
  <c r="W240"/>
  <c r="R26"/>
  <c r="F75"/>
  <c r="R240"/>
  <c r="CE26"/>
  <c r="AV61"/>
  <c r="BB18"/>
  <c r="F285"/>
  <c r="BD18"/>
  <c r="F297"/>
  <c r="Q158"/>
  <c r="F222"/>
  <c r="T158"/>
  <c r="F231"/>
  <c r="F138"/>
  <c r="Q93"/>
  <c r="AQ18"/>
  <c r="F282"/>
  <c r="F150"/>
  <c r="W93"/>
  <c r="AK158"/>
  <c r="X210"/>
  <c r="CC61"/>
  <c r="GM114"/>
  <c r="GO114" s="1"/>
  <c r="BA26"/>
  <c r="F81"/>
  <c r="BA240"/>
  <c r="W158"/>
  <c r="F234"/>
  <c r="V158"/>
  <c r="F233"/>
  <c r="AF158"/>
  <c r="S210"/>
  <c r="AX240"/>
  <c r="CA210"/>
  <c r="CB93"/>
  <c r="AS126"/>
  <c r="CF93"/>
  <c r="AW126"/>
  <c r="AP93"/>
  <c r="F135"/>
  <c r="AZ158"/>
  <c r="F221"/>
  <c r="GO95"/>
  <c r="CC126" s="1"/>
  <c r="CA126"/>
  <c r="T26"/>
  <c r="F82"/>
  <c r="T240"/>
  <c r="CH61"/>
  <c r="U158"/>
  <c r="F232"/>
  <c r="V93"/>
  <c r="F149"/>
  <c r="R158"/>
  <c r="F224"/>
  <c r="T22" l="1"/>
  <c r="F261"/>
  <c r="T272"/>
  <c r="CH26"/>
  <c r="AY61"/>
  <c r="CA93"/>
  <c r="AR126"/>
  <c r="AS93"/>
  <c r="F143"/>
  <c r="AS240"/>
  <c r="S158"/>
  <c r="F225"/>
  <c r="W22"/>
  <c r="F264"/>
  <c r="W272"/>
  <c r="AP26"/>
  <c r="F70"/>
  <c r="AP240"/>
  <c r="X26"/>
  <c r="F87"/>
  <c r="X240"/>
  <c r="AV93"/>
  <c r="F131"/>
  <c r="AU158"/>
  <c r="F229"/>
  <c r="CE158"/>
  <c r="AV210"/>
  <c r="CA26"/>
  <c r="AR61"/>
  <c r="X93"/>
  <c r="F152"/>
  <c r="CC93"/>
  <c r="AT126"/>
  <c r="R22"/>
  <c r="F254"/>
  <c r="R272"/>
  <c r="S93"/>
  <c r="F141"/>
  <c r="AU22"/>
  <c r="AU272"/>
  <c r="F259"/>
  <c r="S240"/>
  <c r="V22"/>
  <c r="V272"/>
  <c r="F263"/>
  <c r="P158"/>
  <c r="F213"/>
  <c r="AB158"/>
  <c r="O210"/>
  <c r="AW93"/>
  <c r="F132"/>
  <c r="CC26"/>
  <c r="AT61"/>
  <c r="AY93"/>
  <c r="F134"/>
  <c r="CC158"/>
  <c r="AT210"/>
  <c r="P22"/>
  <c r="P272"/>
  <c r="F243"/>
  <c r="AL158"/>
  <c r="Y210"/>
  <c r="Q22"/>
  <c r="Q272"/>
  <c r="F252"/>
  <c r="CF158"/>
  <c r="AW210"/>
  <c r="Y93"/>
  <c r="F153"/>
  <c r="AS158"/>
  <c r="F227"/>
  <c r="CA158"/>
  <c r="AR210"/>
  <c r="BA22"/>
  <c r="BA272"/>
  <c r="F260"/>
  <c r="AL26"/>
  <c r="Y61"/>
  <c r="O26"/>
  <c r="F63"/>
  <c r="O240"/>
  <c r="AZ93"/>
  <c r="F137"/>
  <c r="AX22"/>
  <c r="AX272"/>
  <c r="F247"/>
  <c r="X158"/>
  <c r="F236"/>
  <c r="AV26"/>
  <c r="F66"/>
  <c r="AV240"/>
  <c r="CI26"/>
  <c r="AZ61"/>
  <c r="AU93"/>
  <c r="F145"/>
  <c r="U22"/>
  <c r="F262"/>
  <c r="U272"/>
  <c r="CH158"/>
  <c r="AY210"/>
  <c r="AW26"/>
  <c r="F67"/>
  <c r="AW240"/>
  <c r="O93"/>
  <c r="F128"/>
  <c r="AV22" l="1"/>
  <c r="AV272"/>
  <c r="F245"/>
  <c r="AZ26"/>
  <c r="F72"/>
  <c r="AZ240"/>
  <c r="AX18"/>
  <c r="F279"/>
  <c r="AR158"/>
  <c r="F238"/>
  <c r="AY158"/>
  <c r="F218"/>
  <c r="Q18"/>
  <c r="F284"/>
  <c r="V18"/>
  <c r="F295"/>
  <c r="AU18"/>
  <c r="F291"/>
  <c r="R18"/>
  <c r="F286"/>
  <c r="BA18"/>
  <c r="F292"/>
  <c r="AW158"/>
  <c r="F216"/>
  <c r="P18"/>
  <c r="F275"/>
  <c r="AV158"/>
  <c r="F215"/>
  <c r="W18"/>
  <c r="F296"/>
  <c r="AR93"/>
  <c r="F154"/>
  <c r="T18"/>
  <c r="F293"/>
  <c r="AW22"/>
  <c r="F246"/>
  <c r="AW272"/>
  <c r="U18"/>
  <c r="F294"/>
  <c r="Y26"/>
  <c r="F88"/>
  <c r="Y240"/>
  <c r="Y158"/>
  <c r="F237"/>
  <c r="S22"/>
  <c r="S272"/>
  <c r="F255"/>
  <c r="J16" i="2" s="1"/>
  <c r="AP22" i="1"/>
  <c r="F249"/>
  <c r="G16" i="2" s="1"/>
  <c r="AP272" i="1"/>
  <c r="AS22"/>
  <c r="F257"/>
  <c r="E16" i="2" s="1"/>
  <c r="AS272" i="1"/>
  <c r="O22"/>
  <c r="F242"/>
  <c r="O272"/>
  <c r="AT158"/>
  <c r="F228"/>
  <c r="AT26"/>
  <c r="F79"/>
  <c r="AT240"/>
  <c r="O158"/>
  <c r="F212"/>
  <c r="H16" i="2"/>
  <c r="AT93" i="1"/>
  <c r="F144"/>
  <c r="AR26"/>
  <c r="F89"/>
  <c r="AR240"/>
  <c r="X22"/>
  <c r="F266"/>
  <c r="X272"/>
  <c r="AY26"/>
  <c r="F69"/>
  <c r="AY240"/>
  <c r="X18" l="1"/>
  <c r="F298"/>
  <c r="AY22"/>
  <c r="AY272"/>
  <c r="F248"/>
  <c r="S18"/>
  <c r="F287"/>
  <c r="Y22"/>
  <c r="Y272"/>
  <c r="F267"/>
  <c r="AZ22"/>
  <c r="AZ272"/>
  <c r="F251"/>
  <c r="AV18"/>
  <c r="F277"/>
  <c r="O18"/>
  <c r="F274"/>
  <c r="AP18"/>
  <c r="F281"/>
  <c r="AR22"/>
  <c r="AR272"/>
  <c r="F268"/>
  <c r="AT22"/>
  <c r="F258"/>
  <c r="F16" i="2" s="1"/>
  <c r="I16" s="1"/>
  <c r="N16" s="1"/>
  <c r="AT272" i="1"/>
  <c r="AS18"/>
  <c r="F289"/>
  <c r="AW18"/>
  <c r="F278"/>
  <c r="F269" l="1"/>
  <c r="F270" s="1"/>
  <c r="AT18"/>
  <c r="F290"/>
  <c r="AR18"/>
  <c r="F300"/>
  <c r="Y18"/>
  <c r="F299"/>
  <c r="AZ18"/>
  <c r="F283"/>
  <c r="AY18"/>
  <c r="F280"/>
</calcChain>
</file>

<file path=xl/sharedStrings.xml><?xml version="1.0" encoding="utf-8"?>
<sst xmlns="http://schemas.openxmlformats.org/spreadsheetml/2006/main" count="7154" uniqueCount="581">
  <si>
    <t>Smeta.RU Flash  (495) 974-1589</t>
  </si>
  <si>
    <t>_PS_</t>
  </si>
  <si>
    <t>Smeta.RU Flash</t>
  </si>
  <si>
    <t/>
  </si>
  <si>
    <t>Новый объект</t>
  </si>
  <si>
    <t>Электромонтажные работы на объекте: г.Москва, ул. Большая Пироговская д.17+</t>
  </si>
  <si>
    <t>Сметные нормы списания</t>
  </si>
  <si>
    <t>Коды ОКП для ТСН-2001 МГЭ Дополнение 82</t>
  </si>
  <si>
    <t>Типовой расчет для ТСН-2001 МГЭ, Дополнение 82, ремонт</t>
  </si>
  <si>
    <t>Поправки для ТСН-2001 от 08.07.2026 г. доп.82</t>
  </si>
  <si>
    <t>Новая локальная смета</t>
  </si>
  <si>
    <t>Новый раздел</t>
  </si>
  <si>
    <t>Читальный зал (щитовое оборудование)</t>
  </si>
  <si>
    <t>1</t>
  </si>
  <si>
    <t>4.8-218-1</t>
  </si>
  <si>
    <t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 (Демонтаж)</t>
  </si>
  <si>
    <t>1  ШТ.</t>
  </si>
  <si>
    <t>ТСН-2001.4 Доп. 68, Сб. 8, т. 218, поз. 1</t>
  </si>
  <si>
    <t>*0)*1</t>
  </si>
  <si>
    <t>*0,4)*1,2</t>
  </si>
  <si>
    <t>Монтаж оборудования</t>
  </si>
  <si>
    <t>ТСН-2001.4-8. Электротехнические установки</t>
  </si>
  <si>
    <t>ТСН-2001.4-8-1</t>
  </si>
  <si>
    <t>Поправка: Гл.4.Прил.2.2.п.2.2.28_04.00.01.35.002 Поправка: Гл.12.Прил.8.п.8. 3_12.00.01.11.001</t>
  </si>
  <si>
    <t>1,1</t>
  </si>
  <si>
    <t>1297020000</t>
  </si>
  <si>
    <t>Болты строительные с гайками и шайбами (1297030000, 1610000000, 1620000000, 1680000000)</t>
  </si>
  <si>
    <t>кг</t>
  </si>
  <si>
    <t>Поправка: Гл.4.Прил.2.2.п.2.2.28_04.00.01.35.002  Поправка: Гл.12.Прил.8.п.8. 3_12.00.01.11.001</t>
  </si>
  <si>
    <t>1,2</t>
  </si>
  <si>
    <t>3422000000</t>
  </si>
  <si>
    <t>Выключатели автоматические одно-, двух-, трехполюсные, на ток до 25 А</t>
  </si>
  <si>
    <t>шт.</t>
  </si>
  <si>
    <t>1,3</t>
  </si>
  <si>
    <t>3449800000</t>
  </si>
  <si>
    <t>Наконечники кабельные</t>
  </si>
  <si>
    <t>1,4</t>
  </si>
  <si>
    <t>5290900000</t>
  </si>
  <si>
    <t>Конструкции опорные индивидуальные сварные, из сталей мелких профилей</t>
  </si>
  <si>
    <t>т</t>
  </si>
  <si>
    <t>2</t>
  </si>
  <si>
    <t>4.8-240-4</t>
  </si>
  <si>
    <t>Монтаж пультов и шкафов управления, шкафа (пульта) управления навесного, высотой, шириной, глубиной до 600х600х350 мм</t>
  </si>
  <si>
    <t>ТСН-2001.4 Доп. 80, Сб. 8, т. 240, поз. 4</t>
  </si>
  <si>
    <t>)*1</t>
  </si>
  <si>
    <t>)*1,2</t>
  </si>
  <si>
    <t>2,1</t>
  </si>
  <si>
    <t>2,2</t>
  </si>
  <si>
    <t>3430000000</t>
  </si>
  <si>
    <t>Шкафы (пульты) управления навесные</t>
  </si>
  <si>
    <t>3</t>
  </si>
  <si>
    <t>Цена поставщика</t>
  </si>
  <si>
    <t>Щит металлический 24 модуля, IP -54</t>
  </si>
  <si>
    <t>Сметная стоимость оборудования</t>
  </si>
  <si>
    <t>ТСН-2001.13. Сметная стоимость оборудования</t>
  </si>
  <si>
    <t>ТСН-2001.13</t>
  </si>
  <si>
    <t>6 379 +  1,2% Заг.скл</t>
  </si>
  <si>
    <t>0</t>
  </si>
  <si>
    <t>4</t>
  </si>
  <si>
    <t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</t>
  </si>
  <si>
    <t>*1</t>
  </si>
  <si>
    <t>*1,2</t>
  </si>
  <si>
    <t>Поправка: Гл.12.Прил.8.п.8. 3_12.00.01.11.001</t>
  </si>
  <si>
    <t>4,1</t>
  </si>
  <si>
    <t>1.1-1-58</t>
  </si>
  <si>
    <t>Болты строительные с гайками, оцинкованные, М10х100 мм</t>
  </si>
  <si>
    <t>ТСН-2001.1 Доп. 79, Р. 1, о. 1, поз. 58</t>
  </si>
  <si>
    <t>4,2</t>
  </si>
  <si>
    <t>4,3</t>
  </si>
  <si>
    <t>1.21-5-737</t>
  </si>
  <si>
    <t>Наконечник кабельный медный под опрессовку луженый, типа ТМЛ 16-6-6</t>
  </si>
  <si>
    <t>ТСН-2001.1 Доп. 73, Р. 21, о. 5, поз. 737</t>
  </si>
  <si>
    <t>4,4</t>
  </si>
  <si>
    <t>5</t>
  </si>
  <si>
    <t>4.8-222-1</t>
  </si>
  <si>
    <t>Монтаж пускателя магнитного общего назначения отдельностоящего, устанавливаемого на конструкции на полу, на ток до 40 А</t>
  </si>
  <si>
    <t>ТСН-2001.4 Доп. 69, Сб. 8, т. 222, поз. 1</t>
  </si>
  <si>
    <t>5,1</t>
  </si>
  <si>
    <t>5,2</t>
  </si>
  <si>
    <t>3427400000</t>
  </si>
  <si>
    <t>Пускатели электромагнитные общего назначения отдельностоящие, на ток до 40 А</t>
  </si>
  <si>
    <t>5,3</t>
  </si>
  <si>
    <t>3449639000</t>
  </si>
  <si>
    <t>Бирки маркировочные для кабелей и проводов</t>
  </si>
  <si>
    <t>1000 шт.</t>
  </si>
  <si>
    <t>5,4</t>
  </si>
  <si>
    <t>6</t>
  </si>
  <si>
    <t>Модульный контактор Dekraft МК103-063A-230B-04 18091DEK</t>
  </si>
  <si>
    <t>5 745 +  1,2% Заг.скл</t>
  </si>
  <si>
    <t>7</t>
  </si>
  <si>
    <t>4.8-241-1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</si>
  <si>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кабелей и проводов сечением до 10 мм2</t>
  </si>
  <si>
    <t>100 жил</t>
  </si>
  <si>
    <t>ТСН-2001.4 Доп. 79, Сб. 8, т. 241, поз. 1</t>
  </si>
  <si>
    <t>7,1</t>
  </si>
  <si>
    <t>8</t>
  </si>
  <si>
    <t>4.8-224-4</t>
  </si>
  <si>
    <t>Монтаж поста управления кнопочного общего назначения, устанавливаемого на конструкции на стене или колонне, с количеством элементов поста до 3</t>
  </si>
  <si>
    <t>1 ПОСТ</t>
  </si>
  <si>
    <t>ТСН-2001.4 Доп. 80, Сб. 8, т. 224, поз. 4</t>
  </si>
  <si>
    <t>8,1</t>
  </si>
  <si>
    <t>8,2</t>
  </si>
  <si>
    <t>3428400000</t>
  </si>
  <si>
    <t>Посты управления кнопочные общего назначения, с количеством элементов поста до 3</t>
  </si>
  <si>
    <t>8,3</t>
  </si>
  <si>
    <t>8,4</t>
  </si>
  <si>
    <t>9</t>
  </si>
  <si>
    <t>Кнопочный пост</t>
  </si>
  <si>
    <t>3 874 +  1,2% Заг.скл</t>
  </si>
  <si>
    <t>10</t>
  </si>
  <si>
    <t>5.1-20-4</t>
  </si>
  <si>
    <t>Выключатель трехполюсный, с электромагнитным, тепловым или комбинированным расцепителем, номинальный ток до 50А</t>
  </si>
  <si>
    <t>ТСН-2001.5 Доп. 80, Сб. 1, т. 20, поз. 4</t>
  </si>
  <si>
    <t>Пусконаладочные работы</t>
  </si>
  <si>
    <t>ТСН-2001.5. Пусконаладочные работы</t>
  </si>
  <si>
    <t>ТСН-2001.5</t>
  </si>
  <si>
    <t>11</t>
  </si>
  <si>
    <t>5.1-162-1</t>
  </si>
  <si>
    <t>Измерение сопротивления изоляции мегаомметром кабельных и других линий напряжением до 1 кВ, предназначенных для передачи электроэнергии к распределительным устройствам, щитам, шкафам и коммутационным аппаратам</t>
  </si>
  <si>
    <t>1 измерение</t>
  </si>
  <si>
    <t>ТСН-2001.5 Доп. 80, Сб. 1, т. 162, поз. 1</t>
  </si>
  <si>
    <t>12</t>
  </si>
  <si>
    <t>5.1-152-1</t>
  </si>
  <si>
    <t>Проверка наличия цепи между заземлителями и заземленными элементами</t>
  </si>
  <si>
    <t>1 ТОЧКА</t>
  </si>
  <si>
    <t>ТСН-2001.5 Доп. 80, Сб. 1, т. 152, поз. 1</t>
  </si>
  <si>
    <t>13</t>
  </si>
  <si>
    <t>5.1-155-1</t>
  </si>
  <si>
    <t>Снятие характеристик для определения напряжения прикосновения в точках, указанных проектом</t>
  </si>
  <si>
    <t>1 точка прикосновения</t>
  </si>
  <si>
    <t>ТСН-2001.5 Доп. 80, Сб. 1, т. 155, поз. 1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</si>
  <si>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</si>
  <si>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</si>
  <si>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</si>
  <si>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</si>
  <si>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</si>
  <si>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</si>
  <si>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</si>
  <si>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</si>
  <si>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</si>
  <si>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</si>
  <si>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</si>
  <si>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</si>
  <si>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</si>
  <si>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</si>
  <si>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</si>
  <si>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</si>
  <si>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</si>
  <si>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</si>
  <si>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</si>
  <si>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</si>
  <si>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</si>
  <si>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</si>
  <si>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</si>
  <si>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</si>
  <si>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</si>
  <si>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</si>
  <si>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</si>
  <si>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</si>
  <si>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</si>
  <si>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</si>
  <si>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</si>
  <si>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</si>
  <si>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</si>
  <si>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</si>
  <si>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</si>
  <si>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</si>
  <si>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</si>
  <si>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</si>
  <si>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</si>
  <si>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</si>
  <si>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</si>
  <si>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</si>
  <si>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</si>
  <si>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</si>
  <si>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</si>
  <si>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</si>
  <si>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</si>
  <si>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</si>
  <si>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</si>
  <si>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</si>
  <si>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</si>
  <si>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</si>
  <si>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</si>
  <si>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</si>
  <si>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Установка воздушной завесы</t>
  </si>
  <si>
    <t>14</t>
  </si>
  <si>
    <t>4.8-243-11</t>
  </si>
  <si>
    <t>Монтаж розетки штепсельной трехполюсной</t>
  </si>
  <si>
    <t>100 шт.</t>
  </si>
  <si>
    <t>ТСН-2001.4 Доп. 79, Сб. 8, т. 243, поз. 11</t>
  </si>
  <si>
    <t>14,1</t>
  </si>
  <si>
    <t>3464400000</t>
  </si>
  <si>
    <t>Розетки штепсельные трехполюсные</t>
  </si>
  <si>
    <t>15</t>
  </si>
  <si>
    <t>Розетка КЭАЗ 114-16А-6h-380AC-3P+PE-IP44 222754</t>
  </si>
  <si>
    <t>Материалы</t>
  </si>
  <si>
    <t>Материалы, изделия и конструкции</t>
  </si>
  <si>
    <t>2 473 +  2% Заг.скл</t>
  </si>
  <si>
    <t>16</t>
  </si>
  <si>
    <t>16,1</t>
  </si>
  <si>
    <t>16,2</t>
  </si>
  <si>
    <t>16,3</t>
  </si>
  <si>
    <t>16,4</t>
  </si>
  <si>
    <t>17</t>
  </si>
  <si>
    <t>Автоматический выключатель (АВ) DEKraft ВА-101, 3 Р, 25А</t>
  </si>
  <si>
    <t>988 +  1,2% Заг.скл</t>
  </si>
  <si>
    <t>18</t>
  </si>
  <si>
    <t>4.8-280-1</t>
  </si>
  <si>
    <t>Прокладка пластикового кабель-канала по кирпичному основанию</t>
  </si>
  <si>
    <t>100 м</t>
  </si>
  <si>
    <t>ТСН-2001.4. Доп. 1-42. Сб. 8, т. 280, поз. 1</t>
  </si>
  <si>
    <t>18,1</t>
  </si>
  <si>
    <t>5772110000</t>
  </si>
  <si>
    <t>Короба с направляющими</t>
  </si>
  <si>
    <t>м</t>
  </si>
  <si>
    <t>18,2</t>
  </si>
  <si>
    <t>Перегородки разделительные</t>
  </si>
  <si>
    <t>18,3</t>
  </si>
  <si>
    <t>Заглушки</t>
  </si>
  <si>
    <t>18,4</t>
  </si>
  <si>
    <t>Углы внутренние</t>
  </si>
  <si>
    <t>18,5</t>
  </si>
  <si>
    <t>Накладки стыковые</t>
  </si>
  <si>
    <t>18,6</t>
  </si>
  <si>
    <t>Углы наружные</t>
  </si>
  <si>
    <t>18,7</t>
  </si>
  <si>
    <t>Углы плоские</t>
  </si>
  <si>
    <t>19</t>
  </si>
  <si>
    <t>1.1-1-1966</t>
  </si>
  <si>
    <t>Кабель-канал, размер 40х19 мм</t>
  </si>
  <si>
    <t>ТСН-2001.1 Доп. 67, Р. 1, о. 1, поз. 1966</t>
  </si>
  <si>
    <t>Материалы строительные</t>
  </si>
  <si>
    <t>ТСН-2001.1 Материалы строительные</t>
  </si>
  <si>
    <t>ТСН-2001.1-1</t>
  </si>
  <si>
    <t>20</t>
  </si>
  <si>
    <t>4.8-162-2</t>
  </si>
  <si>
    <t>Прокладка в коробах провода сечением до 35 мм2</t>
  </si>
  <si>
    <t>ТСН-2001.4 Доп. 68, Сб. 8, т. 162, поз. 2</t>
  </si>
  <si>
    <t>20,1</t>
  </si>
  <si>
    <t>3500000000</t>
  </si>
  <si>
    <t>Провода (марка и сечение по проекту)</t>
  </si>
  <si>
    <t>км</t>
  </si>
  <si>
    <t>21</t>
  </si>
  <si>
    <t>Кабель ВВГнг -LS 4х5</t>
  </si>
  <si>
    <t>376 +  2% Заг.скл</t>
  </si>
  <si>
    <t>22</t>
  </si>
  <si>
    <t>22,1</t>
  </si>
  <si>
    <t>23</t>
  </si>
  <si>
    <t>3.20-32-1</t>
  </si>
  <si>
    <t>Установка агрегатов воздушно-отопительных массой до 0,25 т</t>
  </si>
  <si>
    <t>1 агрегат</t>
  </si>
  <si>
    <t>ТСН-2001.3 Доп. 79, Сб. 20, т. 32, поз. 1</t>
  </si>
  <si>
    <t>Строительные работы</t>
  </si>
  <si>
    <t>ТСН-2001.3-20. Вентиляция и кондиционирование воздуха</t>
  </si>
  <si>
    <t>ТСН-2001.3-20-1</t>
  </si>
  <si>
    <t>23,1</t>
  </si>
  <si>
    <t>4863110000</t>
  </si>
  <si>
    <t>Агрегаты воздушно-отопительные</t>
  </si>
  <si>
    <t>24</t>
  </si>
  <si>
    <t>Тепловая завеса Ballu BHC-L10T05 НС-1248461</t>
  </si>
  <si>
    <t>17 927 +  1,2% Заг.скл</t>
  </si>
  <si>
    <t>25</t>
  </si>
  <si>
    <t>26</t>
  </si>
  <si>
    <t>27</t>
  </si>
  <si>
    <t>28</t>
  </si>
  <si>
    <t>Освещение (коридор)</t>
  </si>
  <si>
    <t>29</t>
  </si>
  <si>
    <t>29,1</t>
  </si>
  <si>
    <t>29,2</t>
  </si>
  <si>
    <t>1.21-5-1037</t>
  </si>
  <si>
    <t>Выключатель автоматический, однополюсный, типа S201, номинальный ток от 10 до 25 А</t>
  </si>
  <si>
    <t>ТСН-2001.1 Доп. 67, Р. 21, о. 5, поз. 1037</t>
  </si>
  <si>
    <t>29,3</t>
  </si>
  <si>
    <t>29,4</t>
  </si>
  <si>
    <t>30</t>
  </si>
  <si>
    <t>4.8-158-1</t>
  </si>
  <si>
    <t>Прокладка металлического штампованного лотка по установленным конструкциям, ширина лотка до 200 мм</t>
  </si>
  <si>
    <t>1 Т</t>
  </si>
  <si>
    <t>ТСН-2001.4 Доп. 80, Сб. 8, т. 158, поз. 1</t>
  </si>
  <si>
    <t>*1)*1</t>
  </si>
  <si>
    <t>*1,2)*1</t>
  </si>
  <si>
    <t>*1,2)*1,05</t>
  </si>
  <si>
    <t>Поправка: Гл.12.Прил.8.п.8. 3_12.00.01.11.001 Поправка: Сб.4-8.т3.1.п.3.1.1_04.08.01.15.001</t>
  </si>
  <si>
    <t>30,1</t>
  </si>
  <si>
    <t>3449610000</t>
  </si>
  <si>
    <t>Кабель-каналы металлические оцинкованные</t>
  </si>
  <si>
    <t>Поправка: Гл.12.Прил.8.п.8. 3_12.00.01.11.001  Поправка: Сб.4-8.т3.1.п.3.1.1_04.08.01.15.001</t>
  </si>
  <si>
    <t>30,2</t>
  </si>
  <si>
    <t>Разделители (перегородки) для разделения кабелей внутри лотка (3449670000)</t>
  </si>
  <si>
    <t>31</t>
  </si>
  <si>
    <t>1.21-5-557</t>
  </si>
  <si>
    <t>Лоток кабельный, оцинкованный, перфорированный, простой, без крышки, типа PNK-100</t>
  </si>
  <si>
    <t>ТСН-2001.1 Доп. 79, Р. 21, о. 5, поз. 557</t>
  </si>
  <si>
    <t>Материалы монтажные</t>
  </si>
  <si>
    <t>ТСН-2001.1 Материалы монтажные</t>
  </si>
  <si>
    <t>ТСН-2001.1-2</t>
  </si>
  <si>
    <t>32</t>
  </si>
  <si>
    <t>4.8-331-11</t>
  </si>
  <si>
    <t>Установка крышек металлических на лотки металлические перфорированные и неперфорированные массой 1 м до 2 кг</t>
  </si>
  <si>
    <t>100 М ТРАССЫ</t>
  </si>
  <si>
    <t>ТСН-2001.4 Доп. 79, Сб. 8, т. 331, поз. 11</t>
  </si>
  <si>
    <t>32,1</t>
  </si>
  <si>
    <t>3449672000</t>
  </si>
  <si>
    <t>Крышки фасонных секций кабельных лотков</t>
  </si>
  <si>
    <t>32,2</t>
  </si>
  <si>
    <t>3449955000</t>
  </si>
  <si>
    <t>Проводники защитные заземляющие (1844211000)</t>
  </si>
  <si>
    <t>32,3</t>
  </si>
  <si>
    <t>4594000000</t>
  </si>
  <si>
    <t>Винты с гайками и шайбами (1680000000)</t>
  </si>
  <si>
    <t>33</t>
  </si>
  <si>
    <t>1.21-5-1342</t>
  </si>
  <si>
    <t>Крышка для лотка замкового, стальная, оцинкованная, с заземлением, толщина стали 0,6 мм, размер 3000х100х15 мм</t>
  </si>
  <si>
    <t>ТСН-2001.1 Доп. 79, Р. 21, о. 5, поз. 1342</t>
  </si>
  <si>
    <t>34</t>
  </si>
  <si>
    <t>3.9-33-4</t>
  </si>
  <si>
    <t>Монтаж опорных конструкций подвесок и хомутов для крепления трубопроводов внутри зданий и сооружений (Для прокладки лотков)</t>
  </si>
  <si>
    <t>1 т конструкций</t>
  </si>
  <si>
    <t>ТСН-2001.3 Доп. 79, Сб. 9, т. 33, поз. 4</t>
  </si>
  <si>
    <t>ТСН-2001.3-9. Металлические конструкции</t>
  </si>
  <si>
    <t>ТСН-2001.3-9-1</t>
  </si>
  <si>
    <t>34,1</t>
  </si>
  <si>
    <t>5263130000</t>
  </si>
  <si>
    <t>Стальные опорные конструкции под трубопроводы</t>
  </si>
  <si>
    <t>35</t>
  </si>
  <si>
    <t>1.3-4-176</t>
  </si>
  <si>
    <t>Шпилька анкерная, стальная, резьбовая, оцинкованная, в комплекте с шайбой и гайкой, М12x110 мм (М8)</t>
  </si>
  <si>
    <t>ТСН-2001.1 Доп. 73, Р. 3, о. 4, поз. 176</t>
  </si>
  <si>
    <t>36</t>
  </si>
  <si>
    <t>36,1</t>
  </si>
  <si>
    <t>36,2</t>
  </si>
  <si>
    <t>36,3</t>
  </si>
  <si>
    <t>36,4</t>
  </si>
  <si>
    <t>36,5</t>
  </si>
  <si>
    <t>36,6</t>
  </si>
  <si>
    <t>36,7</t>
  </si>
  <si>
    <t>37</t>
  </si>
  <si>
    <t>37,1</t>
  </si>
  <si>
    <t>38</t>
  </si>
  <si>
    <t>4.8-162-1</t>
  </si>
  <si>
    <t>Прокладка в коробах провода сечением до 6 мм2</t>
  </si>
  <si>
    <t>ТСН-2001.4 Доп. 68, Сб. 8, т. 162, поз. 1</t>
  </si>
  <si>
    <t>38,1</t>
  </si>
  <si>
    <t>39</t>
  </si>
  <si>
    <t>1.23-8-415</t>
  </si>
  <si>
    <t>Кабель силовой с медными жилами, с изоляцией и оболочкой из ПВХ композиций пониженной пожароопасности, с пониженным дымо- и газовыделением, марка ВВГнг(А)-LS, напряжение 1000 В, число жил и сечение 3х1,5 мм2</t>
  </si>
  <si>
    <t>ТСН-2001.1 Доп. 79, Р. 23, о. 8, поз. 415</t>
  </si>
  <si>
    <t>40</t>
  </si>
  <si>
    <t>4.8-323-2</t>
  </si>
  <si>
    <t>Установка светильников светодиодных накладных линейных длиной до 3 м, устанавливаемых внутри здания</t>
  </si>
  <si>
    <t>ТСН-2001.4 Доп. 71, Сб. 8, т. 323, поз. 2</t>
  </si>
  <si>
    <t>40,1</t>
  </si>
  <si>
    <t>3461110000</t>
  </si>
  <si>
    <t>Светильники светодиодные потолочные накладные линейные</t>
  </si>
  <si>
    <t>41</t>
  </si>
  <si>
    <t>1.22-8-16</t>
  </si>
  <si>
    <t>ТСН-2001.1 Доп. 79, Р. 22, о. 8, поз. 16</t>
  </si>
  <si>
    <t>42</t>
  </si>
  <si>
    <t>4.8-328-4</t>
  </si>
  <si>
    <t>Монтаж коробки ответвительной для кабельных линий</t>
  </si>
  <si>
    <t>ТСН-2001.4 Доп. 75, Сб. 8, т. 328, поз. 4</t>
  </si>
  <si>
    <t>42,1</t>
  </si>
  <si>
    <t>1.21-5-923</t>
  </si>
  <si>
    <t>Коробка распределительная, пластиковая, открытой проводки, 6 выводов, с сальниками, степень защиты IP55, размеры 100х100х55 мм</t>
  </si>
  <si>
    <t>ТСН-2001.1 Доп. 73, Р. 21, о. 5, поз. 923</t>
  </si>
  <si>
    <t>43</t>
  </si>
  <si>
    <t>4.11-23-1</t>
  </si>
  <si>
    <t>Присоединение проводов, жил электрических кабелей и заземляющих проводников сечением 2,5 мм2 к приборам и средствам автоматизации под винт с оконцеванием наконечником</t>
  </si>
  <si>
    <t>100 концов</t>
  </si>
  <si>
    <t>ТСН-2001.4 Доп. 79, Сб. 11, т. 23, поз. 1</t>
  </si>
  <si>
    <t>ТСН-2001.4-11. Приборы и средства автоматизации и вычислительной техники</t>
  </si>
  <si>
    <t>ТСН-2001.4-11-1</t>
  </si>
  <si>
    <t>44</t>
  </si>
  <si>
    <t>44,1</t>
  </si>
  <si>
    <t>45</t>
  </si>
  <si>
    <t>6.69-24-1</t>
  </si>
  <si>
    <t>Сверление сквозных отверстий в бетонных стенах и полах электроперфоратором, диаметр отверстия до 20 мм, глубина сверления 100 мм</t>
  </si>
  <si>
    <t>100 отверстий</t>
  </si>
  <si>
    <t>ТСН-2001.6 Доп. 69, Сб. 69, т. 24, поз. 1</t>
  </si>
  <si>
    <t>Ремонтно-строительные работы</t>
  </si>
  <si>
    <t>ТСН-2001.6-69. Прочие ремонтно-строительные работы</t>
  </si>
  <si>
    <t>ТСН-2001.6-69-1</t>
  </si>
  <si>
    <t>45,1</t>
  </si>
  <si>
    <t>1.7-3-2</t>
  </si>
  <si>
    <t>Сверло с алмазным покрытием, диаметр 20 мм</t>
  </si>
  <si>
    <t>ТСН-2001.1. Доп. 1-42. Р. 7, о. 3, поз. 2</t>
  </si>
  <si>
    <t>46</t>
  </si>
  <si>
    <t>6.69-24-2</t>
  </si>
  <si>
    <t>Добавлять на каждые 50 мм глубины сверления сверх 100 мм к позиции 6.69-24-1 до т. 250мм</t>
  </si>
  <si>
    <t>ТСН-2001.6 Доп. 68, Сб. 69, т. 24, поз. 2</t>
  </si>
  <si>
    <t>)*3)*1</t>
  </si>
  <si>
    <t>)*3)*1,2</t>
  </si>
  <si>
    <t>47</t>
  </si>
  <si>
    <t>3.6-6-7</t>
  </si>
  <si>
    <t>Установка закладных деталей весом до 4 кг</t>
  </si>
  <si>
    <t>ТСН-2001.3 Доп. 68, Сб. 6, т. 6, поз. 7</t>
  </si>
  <si>
    <t>ТСН-2001.3-6. Бетонные, железобетонные конструкции монолитные</t>
  </si>
  <si>
    <t>ТСН-2001.3-6-1</t>
  </si>
  <si>
    <t>47,1</t>
  </si>
  <si>
    <t>5264660000</t>
  </si>
  <si>
    <t>Закладные и накладные детали</t>
  </si>
  <si>
    <t>48</t>
  </si>
  <si>
    <t>1.12-6-2</t>
  </si>
  <si>
    <t>Трубы стальные электросварные прямошовные, ГОСТ 10705-80, ГОСТ 10704-91, наружный диаметр 15 мм, толщина стенки 1,5 мм</t>
  </si>
  <si>
    <t>ТСН-2001.1 Доп. 79, Р. 12, о. 6, поз. 2</t>
  </si>
  <si>
    <t>49</t>
  </si>
  <si>
    <t>4.8-86-1</t>
  </si>
  <si>
    <t>Герметизация прохода при вводе кабелей во взрывоопасные помещения уплотнительной массой</t>
  </si>
  <si>
    <t>1 проход кабеля</t>
  </si>
  <si>
    <t>ТСН-2001.4 Доп. 79, Сб. 8, т. 86, поз. 1</t>
  </si>
  <si>
    <t>50</t>
  </si>
  <si>
    <t>51</t>
  </si>
  <si>
    <t>52</t>
  </si>
  <si>
    <t>53</t>
  </si>
  <si>
    <t>ндс</t>
  </si>
  <si>
    <t>НДС 22%</t>
  </si>
  <si>
    <t>вс</t>
  </si>
  <si>
    <t>Переменная</t>
  </si>
  <si>
    <t>Новая переменная</t>
  </si>
  <si>
    <t>Переменная1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</si>
  <si>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</si>
  <si>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</si>
  <si>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</si>
  <si>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</si>
  <si>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3_КАП_РЕМ_ИТО</t>
  </si>
  <si>
    <t>{вкл} - Кап. ремонт сетей ИТО, кап. ремонт дорог и инженерных сооружений (в т.ч. гидротехнических сооружений, мостов, путепроводов и т.п.), кап. ремонт объектов производственного назначения  {выкл} - Ремонт обычных объектов</t>
  </si>
  <si>
    <t>3.27_АВТО</t>
  </si>
  <si>
    <t>{вкл} - НР и СП по п.18.1 "Автомобильные дороги"  {выкл} - НР и СП по п.18.2 "Устройство покрытий дорожек, тротуаров, мостовых и площадок и прочее"  Табл. 3.27-121, расценки 3.27-26-1...4</t>
  </si>
  <si>
    <t>3.29_ЗАКР</t>
  </si>
  <si>
    <t>{вкл} - Тоннели и метрополитены: закрытый способ работ  {выкл} - Тоннели и метрополитены: открытый способ работ  Отдел 1.5; таблицы 3.29-1905...1906</t>
  </si>
  <si>
    <t>4.10_МЕЖГ</t>
  </si>
  <si>
    <t>{вкл} - Прокладка и монтаж междугородных линий связи  {выкл} - Прокладка и монтаж сетей связи  Раздел 1.7.3...1.7.5</t>
  </si>
  <si>
    <t>4_РЕМ</t>
  </si>
  <si>
    <t>Кап.ремонт объектов, находящихся в эксплуатации  {вкл} - применение нормативов НР и СП при ремонте объектов в эксплуатации  {выкл} - применение нормативов НР и СП на обычные объекты</t>
  </si>
  <si>
    <t>Текущий уровень цен</t>
  </si>
  <si>
    <t>Сборник индексов</t>
  </si>
  <si>
    <t>_OBSM_</t>
  </si>
  <si>
    <t>*0</t>
  </si>
  <si>
    <t>*0,4</t>
  </si>
  <si>
    <t>Гл.4.Прил.2.2.п.2.2.28_04.00.01.35.002</t>
  </si>
  <si>
    <t>При демонтаже оборудования, предназначенного для дальнейшего использования, без консервации и упаковки</t>
  </si>
  <si>
    <t>Глава 4</t>
  </si>
  <si>
    <t>Гл.12.Прил.8.п.8. 3_12.00.01.11.001</t>
  </si>
  <si>
    <t>Глава 12</t>
  </si>
  <si>
    <t>*1,05</t>
  </si>
  <si>
    <t>Сб.4-8.т3.1.п.3.1.1_04.08.01.15.001</t>
  </si>
  <si>
    <t>При производстве работ на высоте свыше показателей, указанных в отделах (разделах) настоящей технической части: при высоте свыше 2 м до 8 м</t>
  </si>
  <si>
    <t>Глава 4. Сборники</t>
  </si>
  <si>
    <t>)*3</t>
  </si>
  <si>
    <t>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</t>
  </si>
  <si>
    <t>Поправка: Гл.4.Прил.2.2.п.2.2.28_04.00.01.35.002 Наименование: При демонтаже оборудования, предназначенного для дальнейшего использования, без консервации и упаковки Поправка: Гл.12.Прил.8.п.8. 3_12.00.01.11.001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</t>
  </si>
  <si>
    <t>Поправка: Гл.4.Прил.2.2.п.2.2.28_04.00.01.35.002 Наименование: При демонтаже оборудования, предназначенного для дальнейшего использования, без консервации и упаковки  Поправка: Гл.12.Прил.8.п.8. 3_12.00.01.11.001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</t>
  </si>
  <si>
    <t>Поправка: Гл.12.Прил.8.п.8. 3_12.00.01.11.001 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</t>
  </si>
  <si>
    <t>Поправка: Гл.12.Прил.8.п.8. 3_12.00.01.11.001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</t>
  </si>
  <si>
    <t>Поправка: Гл.12.Прил.8.п.8. 3_12.00.01.11.001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 Поправка: Сб.4-8.т3.1.п.3.1.1_04.08.01.15.001 Наименование: При производстве работ на высоте свыше показателей, указанных в отделах (разделах) настоящей технической части: при высоте свыше 2 м до 8 м</t>
  </si>
  <si>
    <t>Поправка: Гл.12.Прил.8.п.8. 3_12.00.01.11.001 Наименование: При наличии усложненных условий производства работ (стесненность, сложность складирования и транспортной логистики, наличие в зоне производства работ действующего технологического оборудования или движения технологического транспорта и т.п.) для объектов, расположенных в пределах круговой магистральной системы улиц "Садовое кольцо" города Москвы  Поправка: Сб.4-8.т3.1.п.3.1.1_04.08.01.15.001 Наименование: При производстве работ на высоте свыше показателей, указанных в отделах (разделах) настоящей технической части: при высоте свыше 2 м до 8 м</t>
  </si>
  <si>
    <t>Светильник светодиодный потолочный накладной, световой поток 7910 лм, цветовая температура от 3500 до 4500 К, мощность 63 Вт, степень защиты IP65, с микро-призматическим экраном, алюминиевый корпус с анодированным покрытием, размеры 1189х76х56 мм, для общественных зданий и наружного освещения</t>
  </si>
  <si>
    <t>"СОГЛАСОВАНО"</t>
  </si>
  <si>
    <t>"УТВЕРЖДАЮ"</t>
  </si>
  <si>
    <t>Форма № 4б</t>
  </si>
  <si>
    <t>"_____"________________ 2026 г.</t>
  </si>
  <si>
    <t>(наименование стройки и/или объекта)</t>
  </si>
  <si>
    <t>(наименование работ и затрат)</t>
  </si>
  <si>
    <t>В базисном уровне цен</t>
  </si>
  <si>
    <t>В текущем уровне цен</t>
  </si>
  <si>
    <t>Сметная стоимость</t>
  </si>
  <si>
    <t>Работы по монтажу оборудования</t>
  </si>
  <si>
    <t>Оборудование</t>
  </si>
  <si>
    <t>Прочие работы и затраты</t>
  </si>
  <si>
    <t>Средства на оплату труда</t>
  </si>
  <si>
    <t>Затраты труда</t>
  </si>
  <si>
    <t>чел.-ч.</t>
  </si>
  <si>
    <t xml:space="preserve">Кроме того: </t>
  </si>
  <si>
    <t>№ п/п</t>
  </si>
  <si>
    <t>Шифр расценки и коды ресурсов</t>
  </si>
  <si>
    <t>Наименование работ и затрат</t>
  </si>
  <si>
    <t>Ед. изм.</t>
  </si>
  <si>
    <t>Кол-во
единиц</t>
  </si>
  <si>
    <t>Цена на
ед. изм.,
руб.</t>
  </si>
  <si>
    <t>Попра-
вочные
коэффи-
циенты</t>
  </si>
  <si>
    <t>Коэффи-
циенты
зимних
удорожа-
ний</t>
  </si>
  <si>
    <t>Всего
затрат в
базисном
уровне цен,
руб.</t>
  </si>
  <si>
    <t>Коэффи-
циенты
(индек-
сы) пере-
счета,
нормы
НР и СП</t>
  </si>
  <si>
    <t>ВСЕГО
затрат в
текущем
уровне цен,
руб.</t>
  </si>
  <si>
    <t>ЗП</t>
  </si>
  <si>
    <t>ЭМ</t>
  </si>
  <si>
    <t>НР от ФОТ</t>
  </si>
  <si>
    <t>%</t>
  </si>
  <si>
    <t>СП от ФОТ</t>
  </si>
  <si>
    <t>ЗТР</t>
  </si>
  <si>
    <t>чел-ч</t>
  </si>
  <si>
    <t>ВСЕГО работ по позиции:</t>
  </si>
  <si>
    <t>ВСЕГО оборудование по позиции:</t>
  </si>
  <si>
    <t>в т.ч. ЗПМ</t>
  </si>
  <si>
    <t>МР</t>
  </si>
  <si>
    <r>
      <t>Щит металлический 24 модуля, IP -54</t>
    </r>
    <r>
      <rPr>
        <i/>
        <sz val="10"/>
        <rFont val="Arial"/>
        <family val="2"/>
        <charset val="204"/>
      </rPr>
      <t xml:space="preserve">
6 455,55 = 6 379 +  1,2% Заг.скл</t>
    </r>
  </si>
  <si>
    <t>ВСЕГО по позиции:</t>
  </si>
  <si>
    <r>
      <t>Модульный контактор Dekraft МК103-063A-230B-04 18091DEK</t>
    </r>
    <r>
      <rPr>
        <i/>
        <sz val="10"/>
        <rFont val="Arial"/>
        <family val="2"/>
        <charset val="204"/>
      </rPr>
      <t xml:space="preserve">
5 813,94 = 5 745 +  1,2% Заг.скл</t>
    </r>
  </si>
  <si>
    <r>
      <t>Кнопочный пост</t>
    </r>
    <r>
      <rPr>
        <i/>
        <sz val="10"/>
        <rFont val="Arial"/>
        <family val="2"/>
        <charset val="204"/>
      </rPr>
      <t xml:space="preserve">
3 920,49 = 3 874 +  1,2% Заг.скл</t>
    </r>
  </si>
  <si>
    <t xml:space="preserve">   Итого по ТСН-2001.16</t>
  </si>
  <si>
    <t xml:space="preserve">   Итого возвратных сумм</t>
  </si>
  <si>
    <r>
      <t>Розетка КЭАЗ 114-16А-6h-380AC-3P+PE-IP44 222754</t>
    </r>
    <r>
      <rPr>
        <i/>
        <sz val="10"/>
        <rFont val="Arial"/>
        <family val="2"/>
        <charset val="204"/>
      </rPr>
      <t xml:space="preserve">
2 522,46 = 2 473 +  2% Заг.скл</t>
    </r>
  </si>
  <si>
    <r>
      <t>Автоматический выключатель (АВ) DEKraft ВА-101, 3 Р, 25А</t>
    </r>
    <r>
      <rPr>
        <i/>
        <sz val="10"/>
        <rFont val="Arial"/>
        <family val="2"/>
        <charset val="204"/>
      </rPr>
      <t xml:space="preserve">
999,86 = 988 +  1,2% Заг.скл</t>
    </r>
  </si>
  <si>
    <r>
      <t>Кабель ВВГнг -LS 4х5</t>
    </r>
    <r>
      <rPr>
        <i/>
        <sz val="10"/>
        <rFont val="Arial"/>
        <family val="2"/>
        <charset val="204"/>
      </rPr>
      <t xml:space="preserve">
383,52 = 376 +  2% Заг.скл</t>
    </r>
  </si>
  <si>
    <r>
      <t>Тепловая завеса Ballu BHC-L10T05 НС-1248461</t>
    </r>
    <r>
      <rPr>
        <i/>
        <sz val="10"/>
        <rFont val="Arial"/>
        <family val="2"/>
        <charset val="204"/>
      </rPr>
      <t xml:space="preserve">
18 142,12 = 17 927 +  1,2% Заг.скл</t>
    </r>
  </si>
  <si>
    <t xml:space="preserve"> тыс.руб.</t>
  </si>
  <si>
    <t xml:space="preserve">Составил   </t>
  </si>
  <si>
    <t>(должность, подпись, инициалы, фамилия)</t>
  </si>
  <si>
    <t xml:space="preserve">Проверил   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</si>
  <si>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</si>
  <si>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</si>
  <si>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</si>
  <si>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</si>
  <si>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</si>
  <si>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Единица измерения</t>
  </si>
  <si>
    <t>Количество</t>
  </si>
  <si>
    <t>Примечание</t>
  </si>
  <si>
    <t>Заказчик _________________</t>
  </si>
  <si>
    <t>Подрядчик _________________</t>
  </si>
  <si>
    <t>TYPE</t>
  </si>
  <si>
    <t>SOURCE_LINK</t>
  </si>
  <si>
    <t>RABMAT_EX</t>
  </si>
  <si>
    <t>TIP_RAB</t>
  </si>
  <si>
    <t>TYPE_TRUD</t>
  </si>
  <si>
    <t>TAB</t>
  </si>
  <si>
    <t>NAME</t>
  </si>
  <si>
    <t>EDIZM</t>
  </si>
  <si>
    <t>KOLL</t>
  </si>
  <si>
    <t>UCH</t>
  </si>
  <si>
    <t>PRICE_B</t>
  </si>
  <si>
    <t>PRICE_ED</t>
  </si>
  <si>
    <t>STOIM_B</t>
  </si>
  <si>
    <t>PRICE_C</t>
  </si>
  <si>
    <t>STOIM_C</t>
  </si>
  <si>
    <t>ZPM_B</t>
  </si>
  <si>
    <t>ZPM_ED</t>
  </si>
  <si>
    <t>STOIM_ZPM_B</t>
  </si>
  <si>
    <t>ZPM_C</t>
  </si>
  <si>
    <t>STOIM_ZPM_C</t>
  </si>
  <si>
    <t>CRC_GR_RES</t>
  </si>
  <si>
    <t>CRC_B</t>
  </si>
  <si>
    <t>CRC_C</t>
  </si>
  <si>
    <t>RABMAT</t>
  </si>
  <si>
    <t>WBS</t>
  </si>
  <si>
    <t>CBSI</t>
  </si>
  <si>
    <t>CBSII</t>
  </si>
  <si>
    <t>TechSpecCVORPP</t>
  </si>
  <si>
    <t>BuildingFinished</t>
  </si>
  <si>
    <t>PEREVOZKA</t>
  </si>
  <si>
    <t>Trud</t>
  </si>
  <si>
    <t>Mash</t>
  </si>
  <si>
    <t>Mat</t>
  </si>
  <si>
    <t>MatZak</t>
  </si>
  <si>
    <t>Oborud</t>
  </si>
  <si>
    <t>OborudZak</t>
  </si>
  <si>
    <t>ZeroStoim</t>
  </si>
  <si>
    <t>NegativeKoll</t>
  </si>
  <si>
    <t>ReUnionKollResurcy</t>
  </si>
  <si>
    <t>UnionOneUchRes</t>
  </si>
  <si>
    <t>IdLevel</t>
  </si>
  <si>
    <t>ViewCodes</t>
  </si>
  <si>
    <t>UnionCodes</t>
  </si>
  <si>
    <t>Ресурсная ведомость на</t>
  </si>
  <si>
    <t>Объект: Электромонтажные работы на объекте: г.Москва, ул. Большая Пироговская д.17+</t>
  </si>
  <si>
    <t>Обоснование</t>
  </si>
  <si>
    <t>Наименование</t>
  </si>
  <si>
    <t>Объем</t>
  </si>
  <si>
    <t>Базовая</t>
  </si>
  <si>
    <t>цена</t>
  </si>
  <si>
    <t>стоимость</t>
  </si>
  <si>
    <t xml:space="preserve">Материальные ресурсы </t>
  </si>
  <si>
    <t xml:space="preserve">Итого материальные ресурсы </t>
  </si>
  <si>
    <t xml:space="preserve">Оборудование </t>
  </si>
  <si>
    <t xml:space="preserve">Итого оборудование </t>
  </si>
  <si>
    <t>Электромонтажные работы на объекте: г.Москва, ул. Большая Пироговская д.17</t>
  </si>
  <si>
    <t>Основание: Дефектная ведомость</t>
  </si>
  <si>
    <t>№ и период сборника коэффициентов (индексов) пересчета: Коэффициенты к ТСН-2001 МГЭ Дополнение 80, ремонт №219 III квартал 2026 года</t>
  </si>
  <si>
    <t>Составлен(а) по ТСН-2001 с учетом Дополнения №: 80</t>
  </si>
  <si>
    <t>Текущий ремонт электрооборудования читального зала федеральных архивов на объекте: г.Москва, ул. Большая Пироговская д.17</t>
  </si>
  <si>
    <t>Приложение №1 Техническому заданию</t>
  </si>
</sst>
</file>

<file path=xl/styles.xml><?xml version="1.0" encoding="utf-8"?>
<styleSheet xmlns="http://schemas.openxmlformats.org/spreadsheetml/2006/main">
  <numFmts count="2">
    <numFmt numFmtId="164" formatCode="#,##0.00;[Red]\-\ #,##0.00"/>
    <numFmt numFmtId="165" formatCode="General;\-General;"/>
  </numFmts>
  <fonts count="20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sz val="13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164" fontId="16" fillId="0" borderId="0" xfId="0" applyNumberFormat="1" applyFont="1"/>
    <xf numFmtId="0" fontId="16" fillId="0" borderId="0" xfId="0" applyFont="1"/>
    <xf numFmtId="164" fontId="11" fillId="0" borderId="0" xfId="0" applyNumberFormat="1" applyFont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wrapText="1"/>
    </xf>
    <xf numFmtId="165" fontId="11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horizontal="right" vertical="top"/>
    </xf>
    <xf numFmtId="164" fontId="0" fillId="0" borderId="0" xfId="0" applyNumberFormat="1"/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164" fontId="11" fillId="0" borderId="1" xfId="0" applyNumberFormat="1" applyFont="1" applyBorder="1" applyAlignment="1">
      <alignment horizontal="right" vertical="top"/>
    </xf>
    <xf numFmtId="165" fontId="11" fillId="0" borderId="1" xfId="0" applyNumberFormat="1" applyFont="1" applyBorder="1" applyAlignment="1">
      <alignment horizontal="right" vertical="top" wrapText="1"/>
    </xf>
    <xf numFmtId="0" fontId="16" fillId="0" borderId="0" xfId="0" applyFont="1" applyAlignment="1">
      <alignment vertical="top"/>
    </xf>
    <xf numFmtId="164" fontId="18" fillId="0" borderId="0" xfId="0" applyNumberFormat="1" applyFont="1" applyAlignment="1">
      <alignment horizontal="right" vertical="top"/>
    </xf>
    <xf numFmtId="165" fontId="11" fillId="0" borderId="0" xfId="0" quotePrefix="1" applyNumberFormat="1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 wrapText="1"/>
    </xf>
    <xf numFmtId="0" fontId="11" fillId="0" borderId="1" xfId="0" applyFont="1" applyBorder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right" wrapText="1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right"/>
    </xf>
    <xf numFmtId="0" fontId="12" fillId="0" borderId="3" xfId="0" quotePrefix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vertical="top" wrapText="1"/>
    </xf>
    <xf numFmtId="164" fontId="11" fillId="0" borderId="3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15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/>
    <xf numFmtId="0" fontId="11" fillId="0" borderId="1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right" vertical="top"/>
    </xf>
    <xf numFmtId="164" fontId="1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top" wrapText="1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left" wrapText="1"/>
    </xf>
    <xf numFmtId="0" fontId="11" fillId="0" borderId="0" xfId="0" applyFont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0" fontId="12" fillId="0" borderId="4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84"/>
  <sheetViews>
    <sheetView tabSelected="1" zoomScaleNormal="100" workbookViewId="0">
      <selection activeCell="I1" sqref="I1"/>
    </sheetView>
  </sheetViews>
  <sheetFormatPr defaultRowHeight="12.75"/>
  <cols>
    <col min="1" max="1" width="5.7109375" customWidth="1"/>
    <col min="2" max="2" width="11.7109375" customWidth="1"/>
    <col min="3" max="3" width="40.7109375" customWidth="1"/>
    <col min="4" max="4" width="11.7109375" customWidth="1"/>
    <col min="5" max="5" width="11.28515625" bestFit="1" customWidth="1"/>
    <col min="6" max="6" width="10.140625" bestFit="1" customWidth="1"/>
    <col min="9" max="9" width="10.140625" bestFit="1" customWidth="1"/>
    <col min="10" max="10" width="11.28515625" bestFit="1" customWidth="1"/>
    <col min="11" max="11" width="10.140625" bestFit="1" customWidth="1"/>
    <col min="14" max="42" width="0" hidden="1" customWidth="1"/>
    <col min="43" max="43" width="96" hidden="1" customWidth="1"/>
    <col min="44" max="47" width="0" hidden="1" customWidth="1"/>
  </cols>
  <sheetData>
    <row r="1" spans="1:11">
      <c r="A1" s="9" t="str">
        <f>Source!B1</f>
        <v>Smeta.RU Flash  (495) 974-1589</v>
      </c>
      <c r="I1" s="54" t="s">
        <v>580</v>
      </c>
    </row>
    <row r="2" spans="1:11" ht="14.25">
      <c r="A2" s="10"/>
      <c r="B2" s="10"/>
      <c r="C2" s="10"/>
      <c r="D2" s="10"/>
      <c r="E2" s="10"/>
      <c r="F2" s="10"/>
      <c r="G2" s="10"/>
      <c r="H2" s="10"/>
      <c r="I2" s="10"/>
      <c r="J2" s="56" t="s">
        <v>460</v>
      </c>
      <c r="K2" s="56"/>
    </row>
    <row r="3" spans="1:11" ht="16.5">
      <c r="A3" s="12"/>
      <c r="B3" s="60" t="s">
        <v>458</v>
      </c>
      <c r="C3" s="60"/>
      <c r="D3" s="60"/>
      <c r="E3" s="60"/>
      <c r="F3" s="11"/>
      <c r="G3" s="60" t="s">
        <v>459</v>
      </c>
      <c r="H3" s="60"/>
      <c r="I3" s="60"/>
      <c r="J3" s="60"/>
      <c r="K3" s="60"/>
    </row>
    <row r="4" spans="1:11" ht="14.25">
      <c r="A4" s="11"/>
      <c r="B4" s="61"/>
      <c r="C4" s="61"/>
      <c r="D4" s="61"/>
      <c r="E4" s="61"/>
      <c r="F4" s="11"/>
      <c r="G4" s="61"/>
      <c r="H4" s="61"/>
      <c r="I4" s="61"/>
      <c r="J4" s="61"/>
      <c r="K4" s="61"/>
    </row>
    <row r="5" spans="1:11" ht="14.25">
      <c r="A5" s="11"/>
      <c r="B5" s="11"/>
      <c r="C5" s="13"/>
      <c r="D5" s="13"/>
      <c r="E5" s="13"/>
      <c r="F5" s="11"/>
      <c r="G5" s="13"/>
      <c r="H5" s="13"/>
      <c r="I5" s="13"/>
      <c r="J5" s="13"/>
      <c r="K5" s="13"/>
    </row>
    <row r="6" spans="1:11" ht="14.25">
      <c r="A6" s="13"/>
      <c r="B6" s="61" t="str">
        <f>CONCATENATE("______________________ ", IF(Source!AL12&lt;&gt;"", Source!AL12, ""))</f>
        <v xml:space="preserve">______________________ </v>
      </c>
      <c r="C6" s="61"/>
      <c r="D6" s="61"/>
      <c r="E6" s="61"/>
      <c r="F6" s="11"/>
      <c r="G6" s="61" t="str">
        <f>CONCATENATE("______________________ ", IF(Source!AH12&lt;&gt;"", Source!AH12, ""))</f>
        <v xml:space="preserve">______________________ </v>
      </c>
      <c r="H6" s="61"/>
      <c r="I6" s="61"/>
      <c r="J6" s="61"/>
      <c r="K6" s="61"/>
    </row>
    <row r="7" spans="1:11" ht="14.25">
      <c r="A7" s="14"/>
      <c r="B7" s="55" t="s">
        <v>461</v>
      </c>
      <c r="C7" s="55"/>
      <c r="D7" s="55"/>
      <c r="E7" s="55"/>
      <c r="F7" s="11"/>
      <c r="G7" s="55" t="s">
        <v>461</v>
      </c>
      <c r="H7" s="55"/>
      <c r="I7" s="55"/>
      <c r="J7" s="55"/>
      <c r="K7" s="55"/>
    </row>
    <row r="9" spans="1:11" ht="14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5.75">
      <c r="A10" s="57" t="s">
        <v>579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>
      <c r="A11" s="58" t="s">
        <v>462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4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5.75">
      <c r="A13" s="57" t="str">
        <f>CONCATENATE( "ЛОКАЛЬНАЯ СМЕТА № ",IF(Source!F12&lt;&gt;"Новый объект", Source!F12, ""))</f>
        <v xml:space="preserve">ЛОКАЛЬНАЯ СМЕТА № 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</row>
    <row r="14" spans="1:11" ht="14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8">
      <c r="A15" s="63" t="s">
        <v>579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>
      <c r="A16" s="64" t="s">
        <v>463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1" ht="14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>
      <c r="A18" s="66" t="s">
        <v>576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4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57">
      <c r="A20" s="11"/>
      <c r="B20" s="11"/>
      <c r="C20" s="11"/>
      <c r="D20" s="11"/>
      <c r="E20" s="11"/>
      <c r="F20" s="11"/>
      <c r="G20" s="11"/>
      <c r="H20" s="11"/>
      <c r="I20" s="16" t="s">
        <v>464</v>
      </c>
      <c r="J20" s="16" t="s">
        <v>465</v>
      </c>
      <c r="K20" s="11"/>
    </row>
    <row r="21" spans="1:11" ht="15">
      <c r="A21" s="11"/>
      <c r="B21" s="11"/>
      <c r="C21" s="11"/>
      <c r="D21" s="11"/>
      <c r="E21" s="67" t="s">
        <v>466</v>
      </c>
      <c r="F21" s="67"/>
      <c r="G21" s="67"/>
      <c r="H21" s="67"/>
      <c r="I21" s="17">
        <f>I22+I23+I24+I25</f>
        <v>67.099999999999994</v>
      </c>
      <c r="J21" s="17">
        <f>J573/1000</f>
        <v>528.43779000000006</v>
      </c>
      <c r="K21" s="18" t="s">
        <v>506</v>
      </c>
    </row>
    <row r="22" spans="1:11" ht="14.25">
      <c r="A22" s="11"/>
      <c r="B22" s="11"/>
      <c r="C22" s="11"/>
      <c r="D22" s="11"/>
      <c r="E22" s="61" t="s">
        <v>253</v>
      </c>
      <c r="F22" s="61"/>
      <c r="G22" s="61"/>
      <c r="H22" s="61"/>
      <c r="I22" s="19">
        <f>ROUND(SUM(X1:X577)/1000, 2)</f>
        <v>16.07</v>
      </c>
      <c r="J22" s="19">
        <f>ROUND((Source!F289)/1000, 2)</f>
        <v>37.21</v>
      </c>
      <c r="K22" s="11" t="s">
        <v>506</v>
      </c>
    </row>
    <row r="23" spans="1:11" ht="14.25">
      <c r="A23" s="11"/>
      <c r="B23" s="11"/>
      <c r="C23" s="11"/>
      <c r="D23" s="11"/>
      <c r="E23" s="61" t="s">
        <v>467</v>
      </c>
      <c r="F23" s="61"/>
      <c r="G23" s="61"/>
      <c r="H23" s="61"/>
      <c r="I23" s="19">
        <f>ROUND(SUM(Y1:Y577)/1000, 2)</f>
        <v>13.2</v>
      </c>
      <c r="J23" s="19">
        <f>ROUND((Source!F290)/1000, 2)</f>
        <v>216.05</v>
      </c>
      <c r="K23" s="11" t="s">
        <v>506</v>
      </c>
    </row>
    <row r="24" spans="1:11" ht="14.25">
      <c r="A24" s="11"/>
      <c r="B24" s="11"/>
      <c r="C24" s="11"/>
      <c r="D24" s="11"/>
      <c r="E24" s="61" t="s">
        <v>468</v>
      </c>
      <c r="F24" s="61"/>
      <c r="G24" s="61"/>
      <c r="H24" s="61"/>
      <c r="I24" s="19">
        <f>ROUND(SUM(Z1:Z577)/1000, 2)</f>
        <v>35.33</v>
      </c>
      <c r="J24" s="19">
        <f>ROUND((Source!F281)/1000, 2)</f>
        <v>35.33</v>
      </c>
      <c r="K24" s="11" t="s">
        <v>506</v>
      </c>
    </row>
    <row r="25" spans="1:11" ht="14.25">
      <c r="A25" s="11"/>
      <c r="B25" s="11"/>
      <c r="C25" s="11"/>
      <c r="D25" s="11"/>
      <c r="E25" s="61" t="s">
        <v>469</v>
      </c>
      <c r="F25" s="61"/>
      <c r="G25" s="61"/>
      <c r="H25" s="61"/>
      <c r="I25" s="19">
        <f>ROUND(SUM(AA1:AA577)/1000, 2)</f>
        <v>2.5</v>
      </c>
      <c r="J25" s="19">
        <f>ROUND((Source!F291+Source!F292)/1000, 2)</f>
        <v>144.56</v>
      </c>
      <c r="K25" s="11" t="s">
        <v>506</v>
      </c>
    </row>
    <row r="26" spans="1:11" ht="14.25">
      <c r="A26" s="11"/>
      <c r="B26" s="11"/>
      <c r="C26" s="11"/>
      <c r="D26" s="11"/>
      <c r="E26" s="61" t="s">
        <v>470</v>
      </c>
      <c r="F26" s="61"/>
      <c r="G26" s="61"/>
      <c r="H26" s="61"/>
      <c r="I26" s="19">
        <f>ROUND(SUM(W1:W577)/1000, 2)</f>
        <v>2.4300000000000002</v>
      </c>
      <c r="J26" s="19">
        <f>(Source!F287+ Source!F286)/1000</f>
        <v>140.24184999999997</v>
      </c>
      <c r="K26" s="11" t="s">
        <v>506</v>
      </c>
    </row>
    <row r="27" spans="1:11" ht="14.25">
      <c r="A27" s="11"/>
      <c r="B27" s="11"/>
      <c r="C27" s="11"/>
      <c r="D27" s="11"/>
      <c r="E27" s="61" t="s">
        <v>471</v>
      </c>
      <c r="F27" s="61"/>
      <c r="G27" s="61"/>
      <c r="H27" s="61"/>
      <c r="I27" s="19">
        <f>SUM(AB1:AB577)</f>
        <v>177.54845579999997</v>
      </c>
      <c r="J27" s="19"/>
      <c r="K27" s="11" t="s">
        <v>472</v>
      </c>
    </row>
    <row r="28" spans="1:11" ht="14.25" hidden="1">
      <c r="A28" s="11"/>
      <c r="B28" s="11"/>
      <c r="C28" s="11"/>
      <c r="D28" s="11"/>
      <c r="E28" s="61" t="s">
        <v>473</v>
      </c>
      <c r="F28" s="61"/>
      <c r="G28" s="61"/>
      <c r="H28" s="61"/>
      <c r="I28" s="19"/>
      <c r="J28" s="19"/>
      <c r="K28" s="11"/>
    </row>
    <row r="29" spans="1:11" ht="14.25" hidden="1">
      <c r="A29" s="11"/>
      <c r="B29" s="11"/>
      <c r="C29" s="11"/>
      <c r="D29" s="11"/>
      <c r="E29" s="62" t="s">
        <v>170</v>
      </c>
      <c r="F29" s="62"/>
      <c r="G29" s="62"/>
      <c r="H29" s="62"/>
      <c r="I29" s="19">
        <f>ROUND(SUM(AE1:AE577)/1000, 2)</f>
        <v>0</v>
      </c>
      <c r="J29" s="19">
        <f>SUM(AF1:AF577)/1000</f>
        <v>0</v>
      </c>
      <c r="K29" s="11" t="s">
        <v>506</v>
      </c>
    </row>
    <row r="30" spans="1:11" ht="14.25">
      <c r="A30" s="11"/>
      <c r="B30" s="11"/>
      <c r="C30" s="11"/>
      <c r="D30" s="11"/>
      <c r="E30" s="11"/>
      <c r="F30" s="13"/>
      <c r="G30" s="13"/>
      <c r="H30" s="13"/>
      <c r="I30" s="19"/>
      <c r="J30" s="19"/>
      <c r="K30" s="11"/>
    </row>
    <row r="31" spans="1:11" ht="14.25">
      <c r="A31" s="11" t="s">
        <v>578</v>
      </c>
      <c r="B31" s="11"/>
      <c r="C31" s="11"/>
      <c r="D31" s="11"/>
      <c r="E31" s="11"/>
      <c r="F31" s="13"/>
      <c r="G31" s="13"/>
      <c r="H31" s="13"/>
      <c r="I31" s="19"/>
      <c r="J31" s="19"/>
      <c r="K31" s="11"/>
    </row>
    <row r="32" spans="1:11" ht="14.25">
      <c r="A32" s="66" t="s">
        <v>577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35" ht="99.75">
      <c r="A33" s="20" t="s">
        <v>474</v>
      </c>
      <c r="B33" s="20" t="s">
        <v>475</v>
      </c>
      <c r="C33" s="20" t="s">
        <v>476</v>
      </c>
      <c r="D33" s="20" t="s">
        <v>477</v>
      </c>
      <c r="E33" s="20" t="s">
        <v>478</v>
      </c>
      <c r="F33" s="20" t="s">
        <v>479</v>
      </c>
      <c r="G33" s="21" t="s">
        <v>480</v>
      </c>
      <c r="H33" s="21" t="s">
        <v>481</v>
      </c>
      <c r="I33" s="20" t="s">
        <v>482</v>
      </c>
      <c r="J33" s="20" t="s">
        <v>483</v>
      </c>
      <c r="K33" s="20" t="s">
        <v>484</v>
      </c>
    </row>
    <row r="34" spans="1:35" ht="14.25">
      <c r="A34" s="20">
        <v>1</v>
      </c>
      <c r="B34" s="20">
        <v>2</v>
      </c>
      <c r="C34" s="20">
        <v>3</v>
      </c>
      <c r="D34" s="20">
        <v>4</v>
      </c>
      <c r="E34" s="20">
        <v>5</v>
      </c>
      <c r="F34" s="20">
        <v>6</v>
      </c>
      <c r="G34" s="20">
        <v>7</v>
      </c>
      <c r="H34" s="20">
        <v>8</v>
      </c>
      <c r="I34" s="20">
        <v>9</v>
      </c>
      <c r="J34" s="20">
        <v>10</v>
      </c>
      <c r="K34" s="20">
        <v>11</v>
      </c>
    </row>
    <row r="36" spans="1:35" ht="16.5">
      <c r="A36" s="70" t="str">
        <f>CONCATENATE("Локальная смета: ",IF(Source!G20&lt;&gt;"Новая локальная смета", Source!G20, ""))</f>
        <v xml:space="preserve">Локальная смета: 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8" spans="1:35" ht="16.5">
      <c r="A38" s="70" t="str">
        <f>CONCATENATE("Раздел: ",IF(Source!G24&lt;&gt;"Новый раздел", Source!G24, ""))</f>
        <v>Раздел: Читальный зал (щитовое оборудование)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35" ht="99.75">
      <c r="A39" s="22">
        <v>1</v>
      </c>
      <c r="B39" s="22" t="str">
        <f>Source!F28</f>
        <v>4.8-218-1</v>
      </c>
      <c r="C39" s="22" t="s">
        <v>15</v>
      </c>
      <c r="D39" s="24" t="str">
        <f>Source!H28</f>
        <v>1  ШТ.</v>
      </c>
      <c r="E39" s="23">
        <f>Source!I28</f>
        <v>10</v>
      </c>
      <c r="F39" s="26"/>
      <c r="G39" s="25"/>
      <c r="H39" s="23"/>
      <c r="I39" s="26"/>
      <c r="J39" s="23"/>
      <c r="K39" s="26"/>
      <c r="Q39">
        <f>ROUND((Source!BZ28/100)*(ROUND((ROUND((Source!AF28*Source!AV28*Source!I28),2)),2)+(ROUND((ROUND(((((Source!EU28*0.4)*1.2))*Source!AV28*Source!I28),2)),2)+ROUND((ROUND(((Source!AE28-(((Source!EU28*0.4)*1.2)))*Source!AV28*Source!I28),2)),2))), 2)</f>
        <v>77.760000000000005</v>
      </c>
      <c r="R39">
        <f>Source!X28</f>
        <v>4491.1400000000003</v>
      </c>
      <c r="S39">
        <f>ROUND((Source!CA28/100)*(ROUND((ROUND((Source!AF28*Source!AV28*Source!I28),2)),2)+(ROUND((ROUND(((((Source!EU28*0.4)*1.2))*Source!AV28*Source!I28),2)),2)+ROUND((ROUND(((Source!AE28-(((Source!EU28*0.4)*1.2)))*Source!AV28*Source!I28),2)),2))), 2)</f>
        <v>40.880000000000003</v>
      </c>
      <c r="T39">
        <f>Source!Y28</f>
        <v>2361.3200000000002</v>
      </c>
      <c r="U39">
        <f>ROUND((175/100)*((ROUND((ROUND(((((Source!EU28*0.4)*1.2))*Source!AV28*Source!I28),2)),2)+ROUND((ROUND(((Source!AE28-(((Source!EU28*0.4)*1.2)))*Source!AV28*Source!I28),2)),2))), 2)</f>
        <v>0</v>
      </c>
      <c r="V39">
        <f>ROUND((0/100)*((ROUND((ROUND(((((Source!EU28*0.4)*1.2))*Source!AV28*Source!I28),2)*Source!BS28),2)+ROUND((ROUND(((Source!AE28-(((Source!EU28*0.4)*1.2)))*Source!AV28*Source!I28),2)*Source!BS28),2))), 2)</f>
        <v>0</v>
      </c>
      <c r="AI39">
        <v>0</v>
      </c>
    </row>
    <row r="40" spans="1:35" ht="14.25">
      <c r="A40" s="22"/>
      <c r="B40" s="22"/>
      <c r="C40" s="22" t="s">
        <v>485</v>
      </c>
      <c r="D40" s="24"/>
      <c r="E40" s="23"/>
      <c r="F40" s="26">
        <f>Source!AO28</f>
        <v>16.7</v>
      </c>
      <c r="G40" s="25" t="str">
        <f>Source!DG28</f>
        <v>*0,4)*1,2</v>
      </c>
      <c r="H40" s="23">
        <f>Source!AV28</f>
        <v>1</v>
      </c>
      <c r="I40" s="26">
        <f>ROUND((ROUND((Source!AF28*Source!AV28*Source!I28),2)),2)</f>
        <v>80.16</v>
      </c>
      <c r="J40" s="23">
        <f>IF(Source!BA28&lt;&gt; 0, Source!BA28, 1)</f>
        <v>57.76</v>
      </c>
      <c r="K40" s="26">
        <f>Source!S28</f>
        <v>4630.04</v>
      </c>
      <c r="W40">
        <f>I40</f>
        <v>80.16</v>
      </c>
    </row>
    <row r="41" spans="1:35" ht="14.25">
      <c r="A41" s="22"/>
      <c r="B41" s="22"/>
      <c r="C41" s="22" t="s">
        <v>486</v>
      </c>
      <c r="D41" s="24"/>
      <c r="E41" s="23"/>
      <c r="F41" s="26">
        <f>Source!AM28</f>
        <v>0.79</v>
      </c>
      <c r="G41" s="25" t="str">
        <f>Source!DE28</f>
        <v>*0,4)*1,2</v>
      </c>
      <c r="H41" s="23">
        <f>Source!AV28</f>
        <v>1</v>
      </c>
      <c r="I41" s="26">
        <f>(ROUND((ROUND(((((Source!ET28*0.4)*1.2))*Source!AV28*Source!I28),2)),2)+ROUND((ROUND(((Source!AE28-(((Source!EU28*0.4)*1.2)))*Source!AV28*Source!I28),2)),2))</f>
        <v>3.79</v>
      </c>
      <c r="J41" s="23">
        <f>IF(Source!BB28&lt;&gt; 0, Source!BB28, 1)</f>
        <v>12.46</v>
      </c>
      <c r="K41" s="26">
        <f>Source!Q28</f>
        <v>47.22</v>
      </c>
    </row>
    <row r="42" spans="1:35" ht="14.25">
      <c r="A42" s="22"/>
      <c r="B42" s="22"/>
      <c r="C42" s="22" t="s">
        <v>487</v>
      </c>
      <c r="D42" s="24" t="s">
        <v>488</v>
      </c>
      <c r="E42" s="23">
        <f>Source!BZ28</f>
        <v>97</v>
      </c>
      <c r="F42" s="26"/>
      <c r="G42" s="25"/>
      <c r="H42" s="23"/>
      <c r="I42" s="26">
        <f>SUM(Q39:Q41)</f>
        <v>77.760000000000005</v>
      </c>
      <c r="J42" s="23">
        <f>Source!AT28</f>
        <v>97</v>
      </c>
      <c r="K42" s="26">
        <f>SUM(R39:R41)</f>
        <v>4491.1400000000003</v>
      </c>
    </row>
    <row r="43" spans="1:35" ht="14.25">
      <c r="A43" s="22"/>
      <c r="B43" s="22"/>
      <c r="C43" s="22" t="s">
        <v>489</v>
      </c>
      <c r="D43" s="24" t="s">
        <v>488</v>
      </c>
      <c r="E43" s="23">
        <f>Source!CA28</f>
        <v>51</v>
      </c>
      <c r="F43" s="26"/>
      <c r="G43" s="25"/>
      <c r="H43" s="23"/>
      <c r="I43" s="26">
        <f>SUM(S39:S42)</f>
        <v>40.880000000000003</v>
      </c>
      <c r="J43" s="23">
        <f>Source!AU28</f>
        <v>51</v>
      </c>
      <c r="K43" s="26">
        <f>SUM(T39:T42)</f>
        <v>2361.3200000000002</v>
      </c>
    </row>
    <row r="44" spans="1:35" ht="14.25">
      <c r="A44" s="28"/>
      <c r="B44" s="28"/>
      <c r="C44" s="28" t="s">
        <v>490</v>
      </c>
      <c r="D44" s="29" t="s">
        <v>491</v>
      </c>
      <c r="E44" s="30">
        <f>Source!AQ28</f>
        <v>1.34</v>
      </c>
      <c r="F44" s="31"/>
      <c r="G44" s="32" t="str">
        <f>Source!DI28</f>
        <v>*0,4)*1,2</v>
      </c>
      <c r="H44" s="30">
        <f>Source!AV28</f>
        <v>1</v>
      </c>
      <c r="I44" s="31">
        <f>Source!U28</f>
        <v>6.4320000000000004</v>
      </c>
      <c r="J44" s="30"/>
      <c r="K44" s="31"/>
      <c r="AB44" s="27">
        <f>I44</f>
        <v>6.4320000000000004</v>
      </c>
    </row>
    <row r="45" spans="1:35" ht="15">
      <c r="C45" s="33" t="s">
        <v>492</v>
      </c>
      <c r="H45" s="69">
        <f>I40+I41+I42+I43+0-0-0</f>
        <v>202.59</v>
      </c>
      <c r="I45" s="69"/>
      <c r="J45" s="69">
        <f>K40+K41+K42+K43+0-0-0</f>
        <v>11529.720000000001</v>
      </c>
      <c r="K45" s="69"/>
    </row>
    <row r="46" spans="1:35" ht="15" hidden="1">
      <c r="C46" s="33" t="s">
        <v>493</v>
      </c>
      <c r="H46" s="68">
        <f>0+0</f>
        <v>0</v>
      </c>
      <c r="I46" s="68"/>
      <c r="J46" s="68">
        <f>0+0</f>
        <v>0</v>
      </c>
      <c r="K46" s="68"/>
    </row>
    <row r="47" spans="1:35" ht="15">
      <c r="H47" s="68"/>
      <c r="I47" s="68"/>
      <c r="J47" s="68"/>
      <c r="K47" s="68"/>
      <c r="O47" s="27">
        <f>I40+I41+I42+I43+0</f>
        <v>202.59</v>
      </c>
      <c r="P47" s="27">
        <f>K40+K41+K42+K43+0</f>
        <v>11529.720000000001</v>
      </c>
      <c r="X47">
        <f>IF(Source!BI28&lt;=1,I40+I41+I42+I43-0, 0)</f>
        <v>0</v>
      </c>
      <c r="Y47">
        <f>IF(Source!BI28=2,I40+I41+I42+I43-0, 0)</f>
        <v>202.59</v>
      </c>
      <c r="Z47">
        <f>IF(Source!BI28=3,I40+I41+I42+I43-0, 0)</f>
        <v>0</v>
      </c>
      <c r="AA47">
        <f>IF(Source!BI28=4,I40+I41+I42+I43,0)</f>
        <v>0</v>
      </c>
    </row>
    <row r="49" spans="1:35" ht="57">
      <c r="A49" s="22">
        <v>2</v>
      </c>
      <c r="B49" s="22" t="str">
        <f>Source!F33</f>
        <v>4.8-240-4</v>
      </c>
      <c r="C49" s="22" t="s">
        <v>42</v>
      </c>
      <c r="D49" s="24" t="str">
        <f>Source!H33</f>
        <v>1  ШТ.</v>
      </c>
      <c r="E49" s="23">
        <f>Source!I33</f>
        <v>1</v>
      </c>
      <c r="F49" s="26"/>
      <c r="G49" s="25"/>
      <c r="H49" s="23"/>
      <c r="I49" s="26"/>
      <c r="J49" s="23"/>
      <c r="K49" s="26"/>
      <c r="Q49">
        <f>ROUND((Source!BZ33/100)*(ROUND((ROUND((Source!AF33*Source!AV33*Source!I33),2)),2)+(ROUND((ROUND((((Source!EU33*1.2))*Source!AV33*Source!I33),2)),2)+ROUND((ROUND(((Source!AE33-((Source!EU33*1.2)))*Source!AV33*Source!I33),2)),2))), 2)</f>
        <v>34.82</v>
      </c>
      <c r="R49">
        <f>Source!X33</f>
        <v>2011.37</v>
      </c>
      <c r="S49">
        <f>ROUND((Source!CA33/100)*(ROUND((ROUND((Source!AF33*Source!AV33*Source!I33),2)),2)+(ROUND((ROUND((((Source!EU33*1.2))*Source!AV33*Source!I33),2)),2)+ROUND((ROUND(((Source!AE33-((Source!EU33*1.2)))*Source!AV33*Source!I33),2)),2))), 2)</f>
        <v>18.309999999999999</v>
      </c>
      <c r="T49">
        <f>Source!Y33</f>
        <v>1057.53</v>
      </c>
      <c r="U49">
        <f>ROUND((175/100)*((ROUND((ROUND((((Source!EU33*1.2))*Source!AV33*Source!I33),2)),2)+ROUND((ROUND(((Source!AE33-((Source!EU33*1.2)))*Source!AV33*Source!I33),2)),2))), 2)</f>
        <v>6.63</v>
      </c>
      <c r="V49">
        <f>ROUND((0/100)*((ROUND((ROUND((((Source!EU33*1.2))*Source!AV33*Source!I33),2)*Source!BS33),2)+ROUND((ROUND(((Source!AE33-((Source!EU33*1.2)))*Source!AV33*Source!I33),2)*Source!BS33),2))), 2)</f>
        <v>0</v>
      </c>
      <c r="AI49">
        <v>0</v>
      </c>
    </row>
    <row r="50" spans="1:35" ht="14.25">
      <c r="A50" s="22"/>
      <c r="B50" s="22"/>
      <c r="C50" s="22" t="s">
        <v>485</v>
      </c>
      <c r="D50" s="24"/>
      <c r="E50" s="23"/>
      <c r="F50" s="26">
        <f>Source!AO33</f>
        <v>26.76</v>
      </c>
      <c r="G50" s="25" t="str">
        <f>Source!DG33</f>
        <v>)*1,2</v>
      </c>
      <c r="H50" s="23">
        <f>Source!AV33</f>
        <v>1</v>
      </c>
      <c r="I50" s="26">
        <f>ROUND((ROUND((Source!AF33*Source!AV33*Source!I33),2)),2)</f>
        <v>32.11</v>
      </c>
      <c r="J50" s="23">
        <f>IF(Source!BA33&lt;&gt; 0, Source!BA33, 1)</f>
        <v>57.76</v>
      </c>
      <c r="K50" s="26">
        <f>Source!S33</f>
        <v>1854.67</v>
      </c>
      <c r="W50">
        <f>I50</f>
        <v>32.11</v>
      </c>
    </row>
    <row r="51" spans="1:35" ht="14.25">
      <c r="A51" s="22"/>
      <c r="B51" s="22"/>
      <c r="C51" s="22" t="s">
        <v>486</v>
      </c>
      <c r="D51" s="24"/>
      <c r="E51" s="23"/>
      <c r="F51" s="26">
        <f>Source!AM33</f>
        <v>17.420000000000002</v>
      </c>
      <c r="G51" s="25" t="str">
        <f>Source!DE33</f>
        <v>)*1,2</v>
      </c>
      <c r="H51" s="23">
        <f>Source!AV33</f>
        <v>1</v>
      </c>
      <c r="I51" s="26">
        <f>(ROUND((ROUND((((Source!ET33*1.2))*Source!AV33*Source!I33),2)),2)+ROUND((ROUND(((Source!AE33-((Source!EU33*1.2)))*Source!AV33*Source!I33),2)),2))</f>
        <v>20.9</v>
      </c>
      <c r="J51" s="23">
        <f>IF(Source!BB33&lt;&gt; 0, Source!BB33, 1)</f>
        <v>20.36</v>
      </c>
      <c r="K51" s="26">
        <f>Source!Q33</f>
        <v>425.52</v>
      </c>
    </row>
    <row r="52" spans="1:35" ht="14.25">
      <c r="A52" s="22"/>
      <c r="B52" s="22"/>
      <c r="C52" s="22" t="s">
        <v>494</v>
      </c>
      <c r="D52" s="24"/>
      <c r="E52" s="23"/>
      <c r="F52" s="26">
        <f>Source!AN33</f>
        <v>3.16</v>
      </c>
      <c r="G52" s="25" t="str">
        <f>Source!DF33</f>
        <v>)*1,2</v>
      </c>
      <c r="H52" s="23">
        <f>Source!AV33</f>
        <v>1</v>
      </c>
      <c r="I52" s="34">
        <f>(ROUND((ROUND((((Source!EU33*1.2))*Source!AV33*Source!I33),2)),2)+ROUND((ROUND(((Source!AE33-((Source!EU33*1.2)))*Source!AV33*Source!I33),2)),2))</f>
        <v>3.79</v>
      </c>
      <c r="J52" s="23">
        <f>IF(Source!BS33&lt;&gt; 0, Source!BS33, 1)</f>
        <v>57.76</v>
      </c>
      <c r="K52" s="34">
        <f>Source!R33</f>
        <v>218.91</v>
      </c>
      <c r="W52">
        <f>I52</f>
        <v>3.79</v>
      </c>
    </row>
    <row r="53" spans="1:35" ht="14.25">
      <c r="A53" s="22"/>
      <c r="B53" s="22"/>
      <c r="C53" s="22" t="s">
        <v>495</v>
      </c>
      <c r="D53" s="24"/>
      <c r="E53" s="23"/>
      <c r="F53" s="26">
        <f>Source!AL33</f>
        <v>1.46</v>
      </c>
      <c r="G53" s="25" t="str">
        <f>Source!DD33</f>
        <v>)*1</v>
      </c>
      <c r="H53" s="23">
        <f>Source!AW33</f>
        <v>1</v>
      </c>
      <c r="I53" s="26">
        <f>ROUND((ROUND((Source!AC33*Source!AW33*Source!I33),2)),2)</f>
        <v>1.46</v>
      </c>
      <c r="J53" s="23">
        <f>IF(Source!BC33&lt;&gt; 0, Source!BC33, 1)</f>
        <v>9.7899999999999991</v>
      </c>
      <c r="K53" s="26">
        <f>Source!P33</f>
        <v>14.29</v>
      </c>
    </row>
    <row r="54" spans="1:35" ht="42.75">
      <c r="A54" s="22" t="s">
        <v>46</v>
      </c>
      <c r="B54" s="22" t="str">
        <f>Source!F34</f>
        <v>1297020000</v>
      </c>
      <c r="C54" s="22" t="s">
        <v>26</v>
      </c>
      <c r="D54" s="24" t="str">
        <f>Source!H34</f>
        <v>кг</v>
      </c>
      <c r="E54" s="23">
        <f>Source!I34</f>
        <v>0.1</v>
      </c>
      <c r="F54" s="26">
        <f>Source!AK34</f>
        <v>0</v>
      </c>
      <c r="G54" s="35" t="s">
        <v>3</v>
      </c>
      <c r="H54" s="23">
        <f>Source!AW34</f>
        <v>1</v>
      </c>
      <c r="I54" s="26">
        <f>ROUND((ROUND((Source!AC34*Source!AW34*Source!I34),2)),2)+(ROUND((ROUND(((Source!ET34)*Source!AV34*Source!I34),2)),2)+ROUND((ROUND(((Source!AE34-(Source!EU34))*Source!AV34*Source!I34),2)),2))+ROUND((ROUND((Source!AF34*Source!AV34*Source!I34),2)),2)</f>
        <v>0</v>
      </c>
      <c r="J54" s="23">
        <f>IF(Source!BC34&lt;&gt; 0, Source!BC34, 1)</f>
        <v>1</v>
      </c>
      <c r="K54" s="26">
        <f>Source!O34</f>
        <v>0</v>
      </c>
      <c r="Q54">
        <f>ROUND((Source!BZ34/100)*(ROUND((ROUND((Source!AF34*Source!AV34*Source!I34),2)),2)+(ROUND((ROUND(((Source!EU34)*Source!AV34*Source!I34),2)),2)+ROUND((ROUND(((Source!AE34-(Source!EU34))*Source!AV34*Source!I34),2)),2))), 2)</f>
        <v>0</v>
      </c>
      <c r="R54">
        <f>Source!X34</f>
        <v>0</v>
      </c>
      <c r="S54">
        <f>ROUND((Source!CA34/100)*(ROUND((ROUND((Source!AF34*Source!AV34*Source!I34),2)),2)+(ROUND((ROUND(((Source!EU34)*Source!AV34*Source!I34),2)),2)+ROUND((ROUND(((Source!AE34-(Source!EU34))*Source!AV34*Source!I34),2)),2))), 2)</f>
        <v>0</v>
      </c>
      <c r="T54">
        <f>Source!Y34</f>
        <v>0</v>
      </c>
      <c r="U54">
        <f>ROUND((175/100)*((ROUND((ROUND(((Source!EU34)*Source!AV34*Source!I34),2)),2)+ROUND((ROUND(((Source!AE34-(Source!EU34))*Source!AV34*Source!I34),2)),2))), 2)</f>
        <v>0</v>
      </c>
      <c r="V54">
        <f>ROUND((0/100)*((ROUND((ROUND(((Source!EU34)*Source!AV34*Source!I34),2)*Source!BS34),2)+ROUND((ROUND(((Source!AE34-(Source!EU34))*Source!AV34*Source!I34),2)*Source!BS34),2))), 2)</f>
        <v>0</v>
      </c>
      <c r="X54">
        <f>IF(Source!BI34&lt;=1,I54, 0)</f>
        <v>0</v>
      </c>
      <c r="Y54">
        <f>IF(Source!BI34=2,I54, 0)</f>
        <v>0</v>
      </c>
      <c r="Z54">
        <f>IF(Source!BI34=3,I54, 0)</f>
        <v>0</v>
      </c>
      <c r="AA54">
        <f>IF(Source!BI34=4,I54, 0)</f>
        <v>0</v>
      </c>
      <c r="AI54">
        <v>3</v>
      </c>
    </row>
    <row r="55" spans="1:35" ht="28.5">
      <c r="A55" s="22" t="s">
        <v>47</v>
      </c>
      <c r="B55" s="22" t="str">
        <f>Source!F35</f>
        <v>3430000000</v>
      </c>
      <c r="C55" s="22" t="s">
        <v>49</v>
      </c>
      <c r="D55" s="24" t="str">
        <f>Source!H35</f>
        <v>шт.</v>
      </c>
      <c r="E55" s="23">
        <f>Source!I35</f>
        <v>1</v>
      </c>
      <c r="F55" s="26">
        <f>Source!AK35</f>
        <v>0</v>
      </c>
      <c r="G55" s="35" t="s">
        <v>3</v>
      </c>
      <c r="H55" s="23">
        <f>Source!AW35</f>
        <v>1</v>
      </c>
      <c r="I55" s="26">
        <f>ROUND((ROUND((Source!AC35*Source!AW35*Source!I35),2)),2)+(ROUND((ROUND(((Source!ET35)*Source!AV35*Source!I35),2)),2)+ROUND((ROUND(((Source!AE35-(Source!EU35))*Source!AV35*Source!I35),2)),2))+ROUND((ROUND((Source!AF35*Source!AV35*Source!I35),2)),2)</f>
        <v>0</v>
      </c>
      <c r="J55" s="23">
        <f>IF(Source!BC35&lt;&gt; 0, Source!BC35, 1)</f>
        <v>1</v>
      </c>
      <c r="K55" s="26">
        <f>Source!O35</f>
        <v>0</v>
      </c>
      <c r="Q55">
        <f>ROUND((Source!BZ35/100)*(ROUND((ROUND((Source!AF35*Source!AV35*Source!I35),2)),2)+(ROUND((ROUND(((Source!EU35)*Source!AV35*Source!I35),2)),2)+ROUND((ROUND(((Source!AE35-(Source!EU35))*Source!AV35*Source!I35),2)),2))), 2)</f>
        <v>0</v>
      </c>
      <c r="R55">
        <f>Source!X35</f>
        <v>0</v>
      </c>
      <c r="S55">
        <f>ROUND((Source!CA35/100)*(ROUND((ROUND((Source!AF35*Source!AV35*Source!I35),2)),2)+(ROUND((ROUND(((Source!EU35)*Source!AV35*Source!I35),2)),2)+ROUND((ROUND(((Source!AE35-(Source!EU35))*Source!AV35*Source!I35),2)),2))), 2)</f>
        <v>0</v>
      </c>
      <c r="T55">
        <f>Source!Y35</f>
        <v>0</v>
      </c>
      <c r="U55">
        <f>ROUND((175/100)*((ROUND((ROUND(((Source!EU35)*Source!AV35*Source!I35),2)),2)+ROUND((ROUND(((Source!AE35-(Source!EU35))*Source!AV35*Source!I35),2)),2))), 2)</f>
        <v>0</v>
      </c>
      <c r="V55">
        <f>ROUND((0/100)*((ROUND((ROUND(((Source!EU35)*Source!AV35*Source!I35),2)*Source!BS35),2)+ROUND((ROUND(((Source!AE35-(Source!EU35))*Source!AV35*Source!I35),2)*Source!BS35),2))), 2)</f>
        <v>0</v>
      </c>
      <c r="X55">
        <f>IF(Source!BI35&lt;=1,I55, 0)</f>
        <v>0</v>
      </c>
      <c r="Y55">
        <f>IF(Source!BI35=2,I55, 0)</f>
        <v>0</v>
      </c>
      <c r="Z55">
        <f>IF(Source!BI35=3,I55, 0)</f>
        <v>0</v>
      </c>
      <c r="AA55">
        <f>IF(Source!BI35=4,I55, 0)</f>
        <v>0</v>
      </c>
      <c r="AI55">
        <v>3</v>
      </c>
    </row>
    <row r="56" spans="1:35" ht="14.25">
      <c r="A56" s="22"/>
      <c r="B56" s="22"/>
      <c r="C56" s="22" t="s">
        <v>487</v>
      </c>
      <c r="D56" s="24" t="s">
        <v>488</v>
      </c>
      <c r="E56" s="23">
        <f>Source!BZ33</f>
        <v>97</v>
      </c>
      <c r="F56" s="26"/>
      <c r="G56" s="25"/>
      <c r="H56" s="23"/>
      <c r="I56" s="26">
        <f>SUM(Q49:Q55)</f>
        <v>34.82</v>
      </c>
      <c r="J56" s="23">
        <f>Source!AT33</f>
        <v>97</v>
      </c>
      <c r="K56" s="26">
        <f>SUM(R49:R55)</f>
        <v>2011.37</v>
      </c>
    </row>
    <row r="57" spans="1:35" ht="14.25">
      <c r="A57" s="22"/>
      <c r="B57" s="22"/>
      <c r="C57" s="22" t="s">
        <v>489</v>
      </c>
      <c r="D57" s="24" t="s">
        <v>488</v>
      </c>
      <c r="E57" s="23">
        <f>Source!CA33</f>
        <v>51</v>
      </c>
      <c r="F57" s="26"/>
      <c r="G57" s="25"/>
      <c r="H57" s="23"/>
      <c r="I57" s="26">
        <f>SUM(S49:S56)</f>
        <v>18.309999999999999</v>
      </c>
      <c r="J57" s="23">
        <f>Source!AU33</f>
        <v>51</v>
      </c>
      <c r="K57" s="26">
        <f>SUM(T49:T56)</f>
        <v>1057.53</v>
      </c>
    </row>
    <row r="58" spans="1:35" ht="14.25">
      <c r="A58" s="28"/>
      <c r="B58" s="28"/>
      <c r="C58" s="28" t="s">
        <v>490</v>
      </c>
      <c r="D58" s="29" t="s">
        <v>491</v>
      </c>
      <c r="E58" s="30">
        <f>Source!AQ33</f>
        <v>2.06</v>
      </c>
      <c r="F58" s="31"/>
      <c r="G58" s="32" t="str">
        <f>Source!DI33</f>
        <v>)*1,2</v>
      </c>
      <c r="H58" s="30">
        <f>Source!AV33</f>
        <v>1</v>
      </c>
      <c r="I58" s="31">
        <f>Source!U33</f>
        <v>2.472</v>
      </c>
      <c r="J58" s="30"/>
      <c r="K58" s="31"/>
      <c r="AB58" s="27">
        <f>I58</f>
        <v>2.472</v>
      </c>
    </row>
    <row r="59" spans="1:35" ht="15">
      <c r="C59" s="33" t="s">
        <v>492</v>
      </c>
      <c r="H59" s="69">
        <f>I50+I51+I53+I56+I57+SUM(I54:I55)-SUMIF(AI54:AI55, 5, I54:I55)-SUMIF(AI54:AI55, 6, I54:I55)</f>
        <v>107.6</v>
      </c>
      <c r="I59" s="69"/>
      <c r="J59" s="69">
        <f>K50+K51+K53+K56+K57+SUM(K54:K55)-SUMIF(AI54:AI55, 5, K54:K55)-SUMIF(AI54:AI55, 6, K54:K55)</f>
        <v>5363.38</v>
      </c>
      <c r="K59" s="69"/>
    </row>
    <row r="60" spans="1:35" ht="15" hidden="1">
      <c r="C60" s="33" t="s">
        <v>493</v>
      </c>
      <c r="H60" s="68">
        <f>SUMIF(AI54:AI55, 5, I54:I55)+SUMIF(AI54:AI55, 6, I54:I55)</f>
        <v>0</v>
      </c>
      <c r="I60" s="68"/>
      <c r="J60" s="68">
        <f>SUMIF(AI54:AI55, 5, K54:K55)+SUMIF(AI54:AI55, 6, K54:K55)</f>
        <v>0</v>
      </c>
      <c r="K60" s="68"/>
    </row>
    <row r="61" spans="1:35" ht="15">
      <c r="H61" s="68"/>
      <c r="I61" s="68"/>
      <c r="J61" s="68"/>
      <c r="K61" s="68"/>
      <c r="O61" s="27">
        <f>I50+I51+I53+I56+I57+SUM(I54:I55)</f>
        <v>107.6</v>
      </c>
      <c r="P61" s="27">
        <f>K50+K51+K53+K56+K57+SUM(K54:K55)</f>
        <v>5363.38</v>
      </c>
      <c r="X61">
        <f>IF(Source!BI33&lt;=1,I50+I51+I53+I56+I57-0, 0)</f>
        <v>0</v>
      </c>
      <c r="Y61">
        <f>IF(Source!BI33=2,I50+I51+I53+I56+I57-0, 0)</f>
        <v>107.6</v>
      </c>
      <c r="Z61">
        <f>IF(Source!BI33=3,I50+I51+I53+I56+I57-0, 0)</f>
        <v>0</v>
      </c>
      <c r="AA61">
        <f>IF(Source!BI33=4,I50+I51+I53+I56+I57,0)</f>
        <v>0</v>
      </c>
    </row>
    <row r="63" spans="1:35" ht="42.75">
      <c r="A63" s="28">
        <v>3</v>
      </c>
      <c r="B63" s="28" t="str">
        <f>Source!F36</f>
        <v>Цена поставщика</v>
      </c>
      <c r="C63" s="28" t="s">
        <v>496</v>
      </c>
      <c r="D63" s="29" t="str">
        <f>Source!H36</f>
        <v>шт.</v>
      </c>
      <c r="E63" s="30">
        <f>Source!I36</f>
        <v>1</v>
      </c>
      <c r="F63" s="31">
        <f>Source!AL36</f>
        <v>6455.55</v>
      </c>
      <c r="G63" s="32" t="str">
        <f>Source!DD36</f>
        <v/>
      </c>
      <c r="H63" s="30">
        <f>Source!AW36</f>
        <v>1</v>
      </c>
      <c r="I63" s="31">
        <f>ROUND((ROUND((Source!AC36*Source!I36),2)),2)</f>
        <v>6455.55</v>
      </c>
      <c r="J63" s="30">
        <f>IF(Source!BC36&lt;&gt; 0, Source!BC36, 1)</f>
        <v>1</v>
      </c>
      <c r="K63" s="31">
        <f>Source!P36</f>
        <v>6455.55</v>
      </c>
      <c r="Q63">
        <f>ROUND((Source!BZ36/100)*(ROUND((ROUND((Source!AF36*Source!AV36*Source!I36),2)),2)+(ROUND((ROUND(((Source!EU36)*Source!AV36*Source!I36),2)),2)+ROUND((ROUND(((Source!AE36-(Source!EU36))*Source!AV36*Source!I36),2)),2))), 2)</f>
        <v>0</v>
      </c>
      <c r="R63">
        <f>Source!X36</f>
        <v>0</v>
      </c>
      <c r="S63">
        <f>ROUND((Source!CA36/100)*(ROUND((ROUND((Source!AF36*Source!AV36*Source!I36),2)),2)+(ROUND((ROUND(((Source!EU36)*Source!AV36*Source!I36),2)),2)+ROUND((ROUND(((Source!AE36-(Source!EU36))*Source!AV36*Source!I36),2)),2))), 2)</f>
        <v>0</v>
      </c>
      <c r="T63">
        <f>Source!Y36</f>
        <v>0</v>
      </c>
      <c r="U63">
        <f>ROUND((175/100)*((ROUND((ROUND(((Source!EU36)*Source!AV36*Source!I36),2)),2)+ROUND((ROUND(((Source!AE36-(Source!EU36))*Source!AV36*Source!I36),2)),2))), 2)</f>
        <v>0</v>
      </c>
      <c r="V63">
        <f>ROUND((0/100)*((ROUND((ROUND(((Source!EU36)*Source!AV36*Source!I36),2)*Source!BS36),2)+ROUND((ROUND(((Source!AE36-(Source!EU36))*Source!AV36*Source!I36),2)*Source!BS36),2))), 2)</f>
        <v>0</v>
      </c>
      <c r="AI63">
        <v>5</v>
      </c>
    </row>
    <row r="64" spans="1:35" ht="15">
      <c r="C64" s="33" t="s">
        <v>497</v>
      </c>
      <c r="H64" s="69">
        <f>I63+0</f>
        <v>6455.55</v>
      </c>
      <c r="I64" s="69"/>
      <c r="J64" s="69">
        <f>K63+0</f>
        <v>6455.55</v>
      </c>
      <c r="K64" s="69"/>
      <c r="O64" s="27">
        <f>I63+0</f>
        <v>6455.55</v>
      </c>
      <c r="P64" s="27">
        <f>K63+0</f>
        <v>6455.55</v>
      </c>
      <c r="X64">
        <f>IF(Source!BI36&lt;=1,I63-0, 0)</f>
        <v>0</v>
      </c>
      <c r="Y64">
        <f>IF(Source!BI36=2,I63-0, 0)</f>
        <v>0</v>
      </c>
      <c r="Z64">
        <f>IF(Source!BI36=3,I63-0, 0)</f>
        <v>6455.55</v>
      </c>
      <c r="AA64">
        <f>IF(Source!BI36=4,I63,0)</f>
        <v>0</v>
      </c>
    </row>
    <row r="66" spans="1:35" ht="85.5">
      <c r="A66" s="22">
        <v>4</v>
      </c>
      <c r="B66" s="22" t="str">
        <f>Source!F37</f>
        <v>4.8-218-1</v>
      </c>
      <c r="C66" s="22" t="s">
        <v>59</v>
      </c>
      <c r="D66" s="24" t="str">
        <f>Source!H37</f>
        <v>1  ШТ.</v>
      </c>
      <c r="E66" s="23">
        <f>Source!I37</f>
        <v>10</v>
      </c>
      <c r="F66" s="26"/>
      <c r="G66" s="25"/>
      <c r="H66" s="23"/>
      <c r="I66" s="26"/>
      <c r="J66" s="23"/>
      <c r="K66" s="26"/>
      <c r="Q66">
        <f>ROUND((Source!BZ37/100)*(ROUND((ROUND((Source!AF37*Source!AV37*Source!I37),2)),2)+(ROUND((ROUND((((Source!EU37*1.2))*Source!AV37*Source!I37),2)),2)+ROUND((ROUND(((Source!AE37-((Source!EU37*1.2)))*Source!AV37*Source!I37),2)),2))), 2)</f>
        <v>194.39</v>
      </c>
      <c r="R66">
        <f>Source!X37</f>
        <v>11227.85</v>
      </c>
      <c r="S66">
        <f>ROUND((Source!CA37/100)*(ROUND((ROUND((Source!AF37*Source!AV37*Source!I37),2)),2)+(ROUND((ROUND((((Source!EU37*1.2))*Source!AV37*Source!I37),2)),2)+ROUND((ROUND(((Source!AE37-((Source!EU37*1.2)))*Source!AV37*Source!I37),2)),2))), 2)</f>
        <v>102.2</v>
      </c>
      <c r="T66">
        <f>Source!Y37</f>
        <v>5903.3</v>
      </c>
      <c r="U66">
        <f>ROUND((175/100)*((ROUND((ROUND((((Source!EU37*1.2))*Source!AV37*Source!I37),2)),2)+ROUND((ROUND(((Source!AE37-((Source!EU37*1.2)))*Source!AV37*Source!I37),2)),2))), 2)</f>
        <v>0</v>
      </c>
      <c r="V66">
        <f>ROUND((0/100)*((ROUND((ROUND((((Source!EU37*1.2))*Source!AV37*Source!I37),2)*Source!BS37),2)+ROUND((ROUND(((Source!AE37-((Source!EU37*1.2)))*Source!AV37*Source!I37),2)*Source!BS37),2))), 2)</f>
        <v>0</v>
      </c>
      <c r="AI66">
        <v>0</v>
      </c>
    </row>
    <row r="67" spans="1:35" ht="14.25">
      <c r="A67" s="22"/>
      <c r="B67" s="22"/>
      <c r="C67" s="22" t="s">
        <v>485</v>
      </c>
      <c r="D67" s="24"/>
      <c r="E67" s="23"/>
      <c r="F67" s="26">
        <f>Source!AO37</f>
        <v>16.7</v>
      </c>
      <c r="G67" s="25" t="str">
        <f>Source!DG37</f>
        <v>*1,2</v>
      </c>
      <c r="H67" s="23">
        <f>Source!AV37</f>
        <v>1</v>
      </c>
      <c r="I67" s="26">
        <f>ROUND((ROUND((Source!AF37*Source!AV37*Source!I37),2)),2)</f>
        <v>200.4</v>
      </c>
      <c r="J67" s="23">
        <f>IF(Source!BA37&lt;&gt; 0, Source!BA37, 1)</f>
        <v>57.76</v>
      </c>
      <c r="K67" s="26">
        <f>Source!S37</f>
        <v>11575.1</v>
      </c>
      <c r="W67">
        <f>I67</f>
        <v>200.4</v>
      </c>
    </row>
    <row r="68" spans="1:35" ht="14.25">
      <c r="A68" s="22"/>
      <c r="B68" s="22"/>
      <c r="C68" s="22" t="s">
        <v>486</v>
      </c>
      <c r="D68" s="24"/>
      <c r="E68" s="23"/>
      <c r="F68" s="26">
        <f>Source!AM37</f>
        <v>0.79</v>
      </c>
      <c r="G68" s="25" t="str">
        <f>Source!DE37</f>
        <v>*1,2</v>
      </c>
      <c r="H68" s="23">
        <f>Source!AV37</f>
        <v>1</v>
      </c>
      <c r="I68" s="26">
        <f>(ROUND((ROUND((((Source!ET37*1.2))*Source!AV37*Source!I37),2)),2)+ROUND((ROUND(((Source!AE37-((Source!EU37*1.2)))*Source!AV37*Source!I37),2)),2))</f>
        <v>9.48</v>
      </c>
      <c r="J68" s="23">
        <f>IF(Source!BB37&lt;&gt; 0, Source!BB37, 1)</f>
        <v>12.46</v>
      </c>
      <c r="K68" s="26">
        <f>Source!Q37</f>
        <v>118.12</v>
      </c>
    </row>
    <row r="69" spans="1:35" ht="14.25">
      <c r="A69" s="22"/>
      <c r="B69" s="22"/>
      <c r="C69" s="22" t="s">
        <v>495</v>
      </c>
      <c r="D69" s="24"/>
      <c r="E69" s="23"/>
      <c r="F69" s="26">
        <f>Source!AL37</f>
        <v>25.27</v>
      </c>
      <c r="G69" s="25" t="str">
        <f>Source!DD37</f>
        <v>*1</v>
      </c>
      <c r="H69" s="23">
        <f>Source!AW37</f>
        <v>1</v>
      </c>
      <c r="I69" s="26">
        <f>ROUND((ROUND((Source!AC37*Source!AW37*Source!I37),2)),2)</f>
        <v>252.7</v>
      </c>
      <c r="J69" s="23">
        <f>IF(Source!BC37&lt;&gt; 0, Source!BC37, 1)</f>
        <v>6.07</v>
      </c>
      <c r="K69" s="26">
        <f>Source!P37</f>
        <v>1533.89</v>
      </c>
    </row>
    <row r="70" spans="1:35" ht="28.5">
      <c r="A70" s="22" t="s">
        <v>63</v>
      </c>
      <c r="B70" s="22" t="str">
        <f>Source!F38</f>
        <v>1.1-1-58</v>
      </c>
      <c r="C70" s="22" t="s">
        <v>65</v>
      </c>
      <c r="D70" s="24" t="str">
        <f>Source!H38</f>
        <v>т</v>
      </c>
      <c r="E70" s="23">
        <f>Source!I38</f>
        <v>4.8999999999999998E-4</v>
      </c>
      <c r="F70" s="26">
        <f>Source!AK38</f>
        <v>24609.759999999998</v>
      </c>
      <c r="G70" s="35" t="s">
        <v>3</v>
      </c>
      <c r="H70" s="23">
        <f>Source!AW38</f>
        <v>1</v>
      </c>
      <c r="I70" s="26">
        <f>ROUND((ROUND((Source!AC38*Source!AW38*Source!I38),2)),2)+(ROUND((ROUND(((Source!ET38)*Source!AV38*Source!I38),2)),2)+ROUND((ROUND(((Source!AE38-(Source!EU38))*Source!AV38*Source!I38),2)),2))+ROUND((ROUND((Source!AF38*Source!AV38*Source!I38),2)),2)</f>
        <v>12.06</v>
      </c>
      <c r="J70" s="23">
        <f>IF(Source!BC38&lt;&gt; 0, Source!BC38, 1)</f>
        <v>3.49</v>
      </c>
      <c r="K70" s="26">
        <f>Source!O38</f>
        <v>42.09</v>
      </c>
      <c r="Q70">
        <f>ROUND((Source!BZ38/100)*(ROUND((ROUND((Source!AF38*Source!AV38*Source!I38),2)),2)+(ROUND((ROUND(((Source!EU38)*Source!AV38*Source!I38),2)),2)+ROUND((ROUND(((Source!AE38-(Source!EU38))*Source!AV38*Source!I38),2)),2))), 2)</f>
        <v>0</v>
      </c>
      <c r="R70">
        <f>Source!X38</f>
        <v>0</v>
      </c>
      <c r="S70">
        <f>ROUND((Source!CA38/100)*(ROUND((ROUND((Source!AF38*Source!AV38*Source!I38),2)),2)+(ROUND((ROUND(((Source!EU38)*Source!AV38*Source!I38),2)),2)+ROUND((ROUND(((Source!AE38-(Source!EU38))*Source!AV38*Source!I38),2)),2))), 2)</f>
        <v>0</v>
      </c>
      <c r="T70">
        <f>Source!Y38</f>
        <v>0</v>
      </c>
      <c r="U70">
        <f>ROUND((175/100)*((ROUND((ROUND(((Source!EU38)*Source!AV38*Source!I38),2)),2)+ROUND((ROUND(((Source!AE38-(Source!EU38))*Source!AV38*Source!I38),2)),2))), 2)</f>
        <v>0</v>
      </c>
      <c r="V70">
        <f>ROUND((0/100)*((ROUND((ROUND(((Source!EU38)*Source!AV38*Source!I38),2)*Source!BS38),2)+ROUND((ROUND(((Source!AE38-(Source!EU38))*Source!AV38*Source!I38),2)*Source!BS38),2))), 2)</f>
        <v>0</v>
      </c>
      <c r="X70">
        <f>IF(Source!BI38&lt;=1,I70, 0)</f>
        <v>0</v>
      </c>
      <c r="Y70">
        <f>IF(Source!BI38=2,I70, 0)</f>
        <v>12.06</v>
      </c>
      <c r="Z70">
        <f>IF(Source!BI38=3,I70, 0)</f>
        <v>0</v>
      </c>
      <c r="AA70">
        <f>IF(Source!BI38=4,I70, 0)</f>
        <v>0</v>
      </c>
      <c r="AI70">
        <v>3</v>
      </c>
    </row>
    <row r="71" spans="1:35" ht="28.5">
      <c r="A71" s="22" t="s">
        <v>67</v>
      </c>
      <c r="B71" s="22" t="str">
        <f>Source!F39</f>
        <v>3422000000</v>
      </c>
      <c r="C71" s="22" t="s">
        <v>31</v>
      </c>
      <c r="D71" s="24" t="str">
        <f>Source!H39</f>
        <v>шт.</v>
      </c>
      <c r="E71" s="23">
        <f>Source!I39</f>
        <v>10</v>
      </c>
      <c r="F71" s="26">
        <f>Source!AK39</f>
        <v>0</v>
      </c>
      <c r="G71" s="35" t="s">
        <v>3</v>
      </c>
      <c r="H71" s="23">
        <f>Source!AW39</f>
        <v>1</v>
      </c>
      <c r="I71" s="26">
        <f>ROUND((ROUND((Source!AC39*Source!AW39*Source!I39),2)),2)+(ROUND((ROUND(((Source!ET39)*Source!AV39*Source!I39),2)),2)+ROUND((ROUND(((Source!AE39-(Source!EU39))*Source!AV39*Source!I39),2)),2))+ROUND((ROUND((Source!AF39*Source!AV39*Source!I39),2)),2)</f>
        <v>0</v>
      </c>
      <c r="J71" s="23">
        <f>IF(Source!BC39&lt;&gt; 0, Source!BC39, 1)</f>
        <v>1</v>
      </c>
      <c r="K71" s="26">
        <f>Source!O39</f>
        <v>0</v>
      </c>
      <c r="Q71">
        <f>ROUND((Source!BZ39/100)*(ROUND((ROUND((Source!AF39*Source!AV39*Source!I39),2)),2)+(ROUND((ROUND(((Source!EU39)*Source!AV39*Source!I39),2)),2)+ROUND((ROUND(((Source!AE39-(Source!EU39))*Source!AV39*Source!I39),2)),2))), 2)</f>
        <v>0</v>
      </c>
      <c r="R71">
        <f>Source!X39</f>
        <v>0</v>
      </c>
      <c r="S71">
        <f>ROUND((Source!CA39/100)*(ROUND((ROUND((Source!AF39*Source!AV39*Source!I39),2)),2)+(ROUND((ROUND(((Source!EU39)*Source!AV39*Source!I39),2)),2)+ROUND((ROUND(((Source!AE39-(Source!EU39))*Source!AV39*Source!I39),2)),2))), 2)</f>
        <v>0</v>
      </c>
      <c r="T71">
        <f>Source!Y39</f>
        <v>0</v>
      </c>
      <c r="U71">
        <f>ROUND((175/100)*((ROUND((ROUND(((Source!EU39)*Source!AV39*Source!I39),2)),2)+ROUND((ROUND(((Source!AE39-(Source!EU39))*Source!AV39*Source!I39),2)),2))), 2)</f>
        <v>0</v>
      </c>
      <c r="V71">
        <f>ROUND((0/100)*((ROUND((ROUND(((Source!EU39)*Source!AV39*Source!I39),2)*Source!BS39),2)+ROUND((ROUND(((Source!AE39-(Source!EU39))*Source!AV39*Source!I39),2)*Source!BS39),2))), 2)</f>
        <v>0</v>
      </c>
      <c r="X71">
        <f>IF(Source!BI39&lt;=1,I71, 0)</f>
        <v>0</v>
      </c>
      <c r="Y71">
        <f>IF(Source!BI39=2,I71, 0)</f>
        <v>0</v>
      </c>
      <c r="Z71">
        <f>IF(Source!BI39=3,I71, 0)</f>
        <v>0</v>
      </c>
      <c r="AA71">
        <f>IF(Source!BI39=4,I71, 0)</f>
        <v>0</v>
      </c>
      <c r="AI71">
        <v>3</v>
      </c>
    </row>
    <row r="72" spans="1:35" ht="28.5">
      <c r="A72" s="22" t="s">
        <v>68</v>
      </c>
      <c r="B72" s="22" t="str">
        <f>Source!F40</f>
        <v>1.21-5-737</v>
      </c>
      <c r="C72" s="22" t="s">
        <v>70</v>
      </c>
      <c r="D72" s="24" t="str">
        <f>Source!H40</f>
        <v>шт.</v>
      </c>
      <c r="E72" s="23">
        <f>Source!I40</f>
        <v>61</v>
      </c>
      <c r="F72" s="26">
        <f>Source!AK40</f>
        <v>3.9</v>
      </c>
      <c r="G72" s="35" t="s">
        <v>3</v>
      </c>
      <c r="H72" s="23">
        <f>Source!AW40</f>
        <v>1</v>
      </c>
      <c r="I72" s="26">
        <f>ROUND((ROUND((Source!AC40*Source!AW40*Source!I40),2)),2)+(ROUND((ROUND(((Source!ET40)*Source!AV40*Source!I40),2)),2)+ROUND((ROUND(((Source!AE40-(Source!EU40))*Source!AV40*Source!I40),2)),2))+ROUND((ROUND((Source!AF40*Source!AV40*Source!I40),2)),2)</f>
        <v>237.9</v>
      </c>
      <c r="J72" s="23">
        <f>IF(Source!BC40&lt;&gt; 0, Source!BC40, 1)</f>
        <v>6.6</v>
      </c>
      <c r="K72" s="26">
        <f>Source!O40</f>
        <v>1570.14</v>
      </c>
      <c r="Q72">
        <f>ROUND((Source!BZ40/100)*(ROUND((ROUND((Source!AF40*Source!AV40*Source!I40),2)),2)+(ROUND((ROUND(((Source!EU40)*Source!AV40*Source!I40),2)),2)+ROUND((ROUND(((Source!AE40-(Source!EU40))*Source!AV40*Source!I40),2)),2))), 2)</f>
        <v>0</v>
      </c>
      <c r="R72">
        <f>Source!X40</f>
        <v>0</v>
      </c>
      <c r="S72">
        <f>ROUND((Source!CA40/100)*(ROUND((ROUND((Source!AF40*Source!AV40*Source!I40),2)),2)+(ROUND((ROUND(((Source!EU40)*Source!AV40*Source!I40),2)),2)+ROUND((ROUND(((Source!AE40-(Source!EU40))*Source!AV40*Source!I40),2)),2))), 2)</f>
        <v>0</v>
      </c>
      <c r="T72">
        <f>Source!Y40</f>
        <v>0</v>
      </c>
      <c r="U72">
        <f>ROUND((175/100)*((ROUND((ROUND(((Source!EU40)*Source!AV40*Source!I40),2)),2)+ROUND((ROUND(((Source!AE40-(Source!EU40))*Source!AV40*Source!I40),2)),2))), 2)</f>
        <v>0</v>
      </c>
      <c r="V72">
        <f>ROUND((0/100)*((ROUND((ROUND(((Source!EU40)*Source!AV40*Source!I40),2)*Source!BS40),2)+ROUND((ROUND(((Source!AE40-(Source!EU40))*Source!AV40*Source!I40),2)*Source!BS40),2))), 2)</f>
        <v>0</v>
      </c>
      <c r="X72">
        <f>IF(Source!BI40&lt;=1,I72, 0)</f>
        <v>0</v>
      </c>
      <c r="Y72">
        <f>IF(Source!BI40=2,I72, 0)</f>
        <v>237.9</v>
      </c>
      <c r="Z72">
        <f>IF(Source!BI40=3,I72, 0)</f>
        <v>0</v>
      </c>
      <c r="AA72">
        <f>IF(Source!BI40=4,I72, 0)</f>
        <v>0</v>
      </c>
      <c r="AI72">
        <v>3</v>
      </c>
    </row>
    <row r="73" spans="1:35" ht="28.5">
      <c r="A73" s="22" t="s">
        <v>72</v>
      </c>
      <c r="B73" s="22" t="str">
        <f>Source!F41</f>
        <v>5290900000</v>
      </c>
      <c r="C73" s="22" t="s">
        <v>38</v>
      </c>
      <c r="D73" s="24" t="str">
        <f>Source!H41</f>
        <v>т</v>
      </c>
      <c r="E73" s="23">
        <f>Source!I41</f>
        <v>0.01</v>
      </c>
      <c r="F73" s="26">
        <f>Source!AK41</f>
        <v>0</v>
      </c>
      <c r="G73" s="35" t="s">
        <v>3</v>
      </c>
      <c r="H73" s="23">
        <f>Source!AW41</f>
        <v>1</v>
      </c>
      <c r="I73" s="26">
        <f>ROUND((ROUND((Source!AC41*Source!AW41*Source!I41),2)),2)+(ROUND((ROUND(((Source!ET41)*Source!AV41*Source!I41),2)),2)+ROUND((ROUND(((Source!AE41-(Source!EU41))*Source!AV41*Source!I41),2)),2))+ROUND((ROUND((Source!AF41*Source!AV41*Source!I41),2)),2)</f>
        <v>0</v>
      </c>
      <c r="J73" s="23">
        <f>IF(Source!BC41&lt;&gt; 0, Source!BC41, 1)</f>
        <v>1</v>
      </c>
      <c r="K73" s="26">
        <f>Source!O41</f>
        <v>0</v>
      </c>
      <c r="Q73">
        <f>ROUND((Source!BZ41/100)*(ROUND((ROUND((Source!AF41*Source!AV41*Source!I41),2)),2)+(ROUND((ROUND(((Source!EU41)*Source!AV41*Source!I41),2)),2)+ROUND((ROUND(((Source!AE41-(Source!EU41))*Source!AV41*Source!I41),2)),2))), 2)</f>
        <v>0</v>
      </c>
      <c r="R73">
        <f>Source!X41</f>
        <v>0</v>
      </c>
      <c r="S73">
        <f>ROUND((Source!CA41/100)*(ROUND((ROUND((Source!AF41*Source!AV41*Source!I41),2)),2)+(ROUND((ROUND(((Source!EU41)*Source!AV41*Source!I41),2)),2)+ROUND((ROUND(((Source!AE41-(Source!EU41))*Source!AV41*Source!I41),2)),2))), 2)</f>
        <v>0</v>
      </c>
      <c r="T73">
        <f>Source!Y41</f>
        <v>0</v>
      </c>
      <c r="U73">
        <f>ROUND((175/100)*((ROUND((ROUND(((Source!EU41)*Source!AV41*Source!I41),2)),2)+ROUND((ROUND(((Source!AE41-(Source!EU41))*Source!AV41*Source!I41),2)),2))), 2)</f>
        <v>0</v>
      </c>
      <c r="V73">
        <f>ROUND((0/100)*((ROUND((ROUND(((Source!EU41)*Source!AV41*Source!I41),2)*Source!BS41),2)+ROUND((ROUND(((Source!AE41-(Source!EU41))*Source!AV41*Source!I41),2)*Source!BS41),2))), 2)</f>
        <v>0</v>
      </c>
      <c r="X73">
        <f>IF(Source!BI41&lt;=1,I73, 0)</f>
        <v>0</v>
      </c>
      <c r="Y73">
        <f>IF(Source!BI41=2,I73, 0)</f>
        <v>0</v>
      </c>
      <c r="Z73">
        <f>IF(Source!BI41=3,I73, 0)</f>
        <v>0</v>
      </c>
      <c r="AA73">
        <f>IF(Source!BI41=4,I73, 0)</f>
        <v>0</v>
      </c>
      <c r="AI73">
        <v>3</v>
      </c>
    </row>
    <row r="74" spans="1:35" ht="14.25">
      <c r="A74" s="22"/>
      <c r="B74" s="22"/>
      <c r="C74" s="22" t="s">
        <v>487</v>
      </c>
      <c r="D74" s="24" t="s">
        <v>488</v>
      </c>
      <c r="E74" s="23">
        <f>Source!BZ37</f>
        <v>97</v>
      </c>
      <c r="F74" s="26"/>
      <c r="G74" s="25"/>
      <c r="H74" s="23"/>
      <c r="I74" s="26">
        <f>SUM(Q66:Q73)</f>
        <v>194.39</v>
      </c>
      <c r="J74" s="23">
        <f>Source!AT37</f>
        <v>97</v>
      </c>
      <c r="K74" s="26">
        <f>SUM(R66:R73)</f>
        <v>11227.85</v>
      </c>
    </row>
    <row r="75" spans="1:35" ht="14.25">
      <c r="A75" s="22"/>
      <c r="B75" s="22"/>
      <c r="C75" s="22" t="s">
        <v>489</v>
      </c>
      <c r="D75" s="24" t="s">
        <v>488</v>
      </c>
      <c r="E75" s="23">
        <f>Source!CA37</f>
        <v>51</v>
      </c>
      <c r="F75" s="26"/>
      <c r="G75" s="25"/>
      <c r="H75" s="23"/>
      <c r="I75" s="26">
        <f>SUM(S66:S74)</f>
        <v>102.2</v>
      </c>
      <c r="J75" s="23">
        <f>Source!AU37</f>
        <v>51</v>
      </c>
      <c r="K75" s="26">
        <f>SUM(T66:T74)</f>
        <v>5903.3</v>
      </c>
    </row>
    <row r="76" spans="1:35" ht="14.25">
      <c r="A76" s="28"/>
      <c r="B76" s="28"/>
      <c r="C76" s="28" t="s">
        <v>490</v>
      </c>
      <c r="D76" s="29" t="s">
        <v>491</v>
      </c>
      <c r="E76" s="30">
        <f>Source!AQ37</f>
        <v>1.34</v>
      </c>
      <c r="F76" s="31"/>
      <c r="G76" s="32" t="str">
        <f>Source!DI37</f>
        <v>*1,2</v>
      </c>
      <c r="H76" s="30">
        <f>Source!AV37</f>
        <v>1</v>
      </c>
      <c r="I76" s="31">
        <f>Source!U37</f>
        <v>16.080000000000002</v>
      </c>
      <c r="J76" s="30"/>
      <c r="K76" s="31"/>
      <c r="AB76" s="27">
        <f>I76</f>
        <v>16.080000000000002</v>
      </c>
    </row>
    <row r="77" spans="1:35" ht="15">
      <c r="C77" s="33" t="s">
        <v>492</v>
      </c>
      <c r="H77" s="69">
        <f>I67+I68+I69+I74+I75+SUM(I70:I73)-SUMIF(AI70:AI73, 5, I70:I73)-SUMIF(AI70:AI73, 6, I70:I73)</f>
        <v>1009.1300000000001</v>
      </c>
      <c r="I77" s="69"/>
      <c r="J77" s="69">
        <f>K67+K68+K69+K74+K75+SUM(K70:K73)-SUMIF(AI70:AI73, 5, K70:K73)-SUMIF(AI70:AI73, 6, K70:K73)</f>
        <v>31970.489999999998</v>
      </c>
      <c r="K77" s="69"/>
    </row>
    <row r="78" spans="1:35" ht="15" hidden="1">
      <c r="C78" s="33" t="s">
        <v>493</v>
      </c>
      <c r="H78" s="68">
        <f>SUMIF(AI70:AI73, 5, I70:I73)+SUMIF(AI70:AI73, 6, I70:I73)</f>
        <v>0</v>
      </c>
      <c r="I78" s="68"/>
      <c r="J78" s="68">
        <f>SUMIF(AI70:AI73, 5, K70:K73)+SUMIF(AI70:AI73, 6, K70:K73)</f>
        <v>0</v>
      </c>
      <c r="K78" s="68"/>
    </row>
    <row r="79" spans="1:35" ht="15">
      <c r="H79" s="68"/>
      <c r="I79" s="68"/>
      <c r="J79" s="68"/>
      <c r="K79" s="68"/>
      <c r="O79" s="27">
        <f>I67+I68+I69+I74+I75+SUM(I70:I73)</f>
        <v>1009.1300000000001</v>
      </c>
      <c r="P79" s="27">
        <f>K67+K68+K69+K74+K75+SUM(K70:K73)</f>
        <v>31970.489999999998</v>
      </c>
      <c r="X79">
        <f>IF(Source!BI37&lt;=1,I67+I68+I69+I74+I75-0, 0)</f>
        <v>0</v>
      </c>
      <c r="Y79">
        <f>IF(Source!BI37=2,I67+I68+I69+I74+I75-0, 0)</f>
        <v>759.17000000000007</v>
      </c>
      <c r="Z79">
        <f>IF(Source!BI37=3,I67+I68+I69+I74+I75-0, 0)</f>
        <v>0</v>
      </c>
      <c r="AA79">
        <f>IF(Source!BI37=4,I67+I68+I69+I74+I75,0)</f>
        <v>0</v>
      </c>
    </row>
    <row r="81" spans="1:35" ht="57">
      <c r="A81" s="22">
        <v>5</v>
      </c>
      <c r="B81" s="22" t="str">
        <f>Source!F42</f>
        <v>4.8-222-1</v>
      </c>
      <c r="C81" s="22" t="s">
        <v>75</v>
      </c>
      <c r="D81" s="24" t="str">
        <f>Source!H42</f>
        <v>1  ШТ.</v>
      </c>
      <c r="E81" s="23">
        <f>Source!I42</f>
        <v>1</v>
      </c>
      <c r="F81" s="26"/>
      <c r="G81" s="25"/>
      <c r="H81" s="23"/>
      <c r="I81" s="26"/>
      <c r="J81" s="23"/>
      <c r="K81" s="26"/>
      <c r="Q81">
        <f>ROUND((Source!BZ42/100)*(ROUND((ROUND((Source!AF42*Source!AV42*Source!I42),2)),2)+(ROUND((ROUND((((Source!EU42*1.2))*Source!AV42*Source!I42),2)),2)+ROUND((ROUND(((Source!AE42-((Source!EU42*1.2)))*Source!AV42*Source!I42),2)),2))), 2)</f>
        <v>33.58</v>
      </c>
      <c r="R81">
        <f>Source!X42</f>
        <v>1939.66</v>
      </c>
      <c r="S81">
        <f>ROUND((Source!CA42/100)*(ROUND((ROUND((Source!AF42*Source!AV42*Source!I42),2)),2)+(ROUND((ROUND((((Source!EU42*1.2))*Source!AV42*Source!I42),2)),2)+ROUND((ROUND(((Source!AE42-((Source!EU42*1.2)))*Source!AV42*Source!I42),2)),2))), 2)</f>
        <v>17.66</v>
      </c>
      <c r="T81">
        <f>Source!Y42</f>
        <v>1019.82</v>
      </c>
      <c r="U81">
        <f>ROUND((175/100)*((ROUND((ROUND((((Source!EU42*1.2))*Source!AV42*Source!I42),2)),2)+ROUND((ROUND(((Source!AE42-((Source!EU42*1.2)))*Source!AV42*Source!I42),2)),2))), 2)</f>
        <v>0.28000000000000003</v>
      </c>
      <c r="V81">
        <f>ROUND((0/100)*((ROUND((ROUND((((Source!EU42*1.2))*Source!AV42*Source!I42),2)*Source!BS42),2)+ROUND((ROUND(((Source!AE42-((Source!EU42*1.2)))*Source!AV42*Source!I42),2)*Source!BS42),2))), 2)</f>
        <v>0</v>
      </c>
      <c r="AI81">
        <v>0</v>
      </c>
    </row>
    <row r="82" spans="1:35" ht="14.25">
      <c r="A82" s="22"/>
      <c r="B82" s="22"/>
      <c r="C82" s="22" t="s">
        <v>485</v>
      </c>
      <c r="D82" s="24"/>
      <c r="E82" s="23"/>
      <c r="F82" s="26">
        <f>Source!AO42</f>
        <v>28.72</v>
      </c>
      <c r="G82" s="25" t="str">
        <f>Source!DG42</f>
        <v>*1,2</v>
      </c>
      <c r="H82" s="23">
        <f>Source!AV42</f>
        <v>1</v>
      </c>
      <c r="I82" s="26">
        <f>ROUND((ROUND((Source!AF42*Source!AV42*Source!I42),2)),2)</f>
        <v>34.46</v>
      </c>
      <c r="J82" s="23">
        <f>IF(Source!BA42&lt;&gt; 0, Source!BA42, 1)</f>
        <v>57.76</v>
      </c>
      <c r="K82" s="26">
        <f>Source!S42</f>
        <v>1990.41</v>
      </c>
      <c r="W82">
        <f>I82</f>
        <v>34.46</v>
      </c>
    </row>
    <row r="83" spans="1:35" ht="14.25">
      <c r="A83" s="22"/>
      <c r="B83" s="22"/>
      <c r="C83" s="22" t="s">
        <v>486</v>
      </c>
      <c r="D83" s="24"/>
      <c r="E83" s="23"/>
      <c r="F83" s="26">
        <f>Source!AM42</f>
        <v>1.58</v>
      </c>
      <c r="G83" s="25" t="str">
        <f>Source!DE42</f>
        <v>*1,2</v>
      </c>
      <c r="H83" s="23">
        <f>Source!AV42</f>
        <v>1</v>
      </c>
      <c r="I83" s="26">
        <f>(ROUND((ROUND((((Source!ET42*1.2))*Source!AV42*Source!I42),2)),2)+ROUND((ROUND(((Source!AE42-((Source!EU42*1.2)))*Source!AV42*Source!I42),2)),2))</f>
        <v>1.9</v>
      </c>
      <c r="J83" s="23">
        <f>IF(Source!BB42&lt;&gt; 0, Source!BB42, 1)</f>
        <v>15.27</v>
      </c>
      <c r="K83" s="26">
        <f>Source!Q42</f>
        <v>29.01</v>
      </c>
    </row>
    <row r="84" spans="1:35" ht="14.25">
      <c r="A84" s="22"/>
      <c r="B84" s="22"/>
      <c r="C84" s="22" t="s">
        <v>494</v>
      </c>
      <c r="D84" s="24"/>
      <c r="E84" s="23"/>
      <c r="F84" s="26">
        <f>Source!AN42</f>
        <v>0.13</v>
      </c>
      <c r="G84" s="25" t="str">
        <f>Source!DF42</f>
        <v>*1,2</v>
      </c>
      <c r="H84" s="23">
        <f>Source!AV42</f>
        <v>1</v>
      </c>
      <c r="I84" s="34">
        <f>(ROUND((ROUND((((Source!EU42*1.2))*Source!AV42*Source!I42),2)),2)+ROUND((ROUND(((Source!AE42-((Source!EU42*1.2)))*Source!AV42*Source!I42),2)),2))</f>
        <v>0.16</v>
      </c>
      <c r="J84" s="23">
        <f>IF(Source!BS42&lt;&gt; 0, Source!BS42, 1)</f>
        <v>57.76</v>
      </c>
      <c r="K84" s="34">
        <f>Source!R42</f>
        <v>9.24</v>
      </c>
      <c r="W84">
        <f>I84</f>
        <v>0.16</v>
      </c>
    </row>
    <row r="85" spans="1:35" ht="14.25">
      <c r="A85" s="22"/>
      <c r="B85" s="22"/>
      <c r="C85" s="22" t="s">
        <v>495</v>
      </c>
      <c r="D85" s="24"/>
      <c r="E85" s="23"/>
      <c r="F85" s="26">
        <f>Source!AL42</f>
        <v>23.44</v>
      </c>
      <c r="G85" s="25" t="str">
        <f>Source!DD42</f>
        <v>*1</v>
      </c>
      <c r="H85" s="23">
        <f>Source!AW42</f>
        <v>1</v>
      </c>
      <c r="I85" s="26">
        <f>ROUND((ROUND((Source!AC42*Source!AW42*Source!I42),2)),2)</f>
        <v>23.44</v>
      </c>
      <c r="J85" s="23">
        <f>IF(Source!BC42&lt;&gt; 0, Source!BC42, 1)</f>
        <v>6.59</v>
      </c>
      <c r="K85" s="26">
        <f>Source!P42</f>
        <v>154.47</v>
      </c>
    </row>
    <row r="86" spans="1:35" ht="28.5">
      <c r="A86" s="22" t="s">
        <v>77</v>
      </c>
      <c r="B86" s="22" t="str">
        <f>Source!F43</f>
        <v>1.1-1-58</v>
      </c>
      <c r="C86" s="22" t="s">
        <v>65</v>
      </c>
      <c r="D86" s="24" t="str">
        <f>Source!H43</f>
        <v>т</v>
      </c>
      <c r="E86" s="23">
        <f>Source!I43</f>
        <v>3.7300000000000001E-4</v>
      </c>
      <c r="F86" s="26">
        <f>Source!AK43</f>
        <v>24609.759999999998</v>
      </c>
      <c r="G86" s="35" t="s">
        <v>3</v>
      </c>
      <c r="H86" s="23">
        <f>Source!AW43</f>
        <v>1</v>
      </c>
      <c r="I86" s="26">
        <f>ROUND((ROUND((Source!AC43*Source!AW43*Source!I43),2)),2)+(ROUND((ROUND(((Source!ET43)*Source!AV43*Source!I43),2)),2)+ROUND((ROUND(((Source!AE43-(Source!EU43))*Source!AV43*Source!I43),2)),2))+ROUND((ROUND((Source!AF43*Source!AV43*Source!I43),2)),2)</f>
        <v>9.18</v>
      </c>
      <c r="J86" s="23">
        <f>IF(Source!BC43&lt;&gt; 0, Source!BC43, 1)</f>
        <v>3.49</v>
      </c>
      <c r="K86" s="26">
        <f>Source!O43</f>
        <v>32.04</v>
      </c>
      <c r="Q86">
        <f>ROUND((Source!BZ43/100)*(ROUND((ROUND((Source!AF43*Source!AV43*Source!I43),2)),2)+(ROUND((ROUND(((Source!EU43)*Source!AV43*Source!I43),2)),2)+ROUND((ROUND(((Source!AE43-(Source!EU43))*Source!AV43*Source!I43),2)),2))), 2)</f>
        <v>0</v>
      </c>
      <c r="R86">
        <f>Source!X43</f>
        <v>0</v>
      </c>
      <c r="S86">
        <f>ROUND((Source!CA43/100)*(ROUND((ROUND((Source!AF43*Source!AV43*Source!I43),2)),2)+(ROUND((ROUND(((Source!EU43)*Source!AV43*Source!I43),2)),2)+ROUND((ROUND(((Source!AE43-(Source!EU43))*Source!AV43*Source!I43),2)),2))), 2)</f>
        <v>0</v>
      </c>
      <c r="T86">
        <f>Source!Y43</f>
        <v>0</v>
      </c>
      <c r="U86">
        <f>ROUND((175/100)*((ROUND((ROUND(((Source!EU43)*Source!AV43*Source!I43),2)),2)+ROUND((ROUND(((Source!AE43-(Source!EU43))*Source!AV43*Source!I43),2)),2))), 2)</f>
        <v>0</v>
      </c>
      <c r="V86">
        <f>ROUND((0/100)*((ROUND((ROUND(((Source!EU43)*Source!AV43*Source!I43),2)*Source!BS43),2)+ROUND((ROUND(((Source!AE43-(Source!EU43))*Source!AV43*Source!I43),2)*Source!BS43),2))), 2)</f>
        <v>0</v>
      </c>
      <c r="X86">
        <f>IF(Source!BI43&lt;=1,I86, 0)</f>
        <v>0</v>
      </c>
      <c r="Y86">
        <f>IF(Source!BI43=2,I86, 0)</f>
        <v>9.18</v>
      </c>
      <c r="Z86">
        <f>IF(Source!BI43=3,I86, 0)</f>
        <v>0</v>
      </c>
      <c r="AA86">
        <f>IF(Source!BI43=4,I86, 0)</f>
        <v>0</v>
      </c>
      <c r="AI86">
        <v>3</v>
      </c>
    </row>
    <row r="87" spans="1:35" ht="42.75">
      <c r="A87" s="22" t="s">
        <v>78</v>
      </c>
      <c r="B87" s="22" t="str">
        <f>Source!F44</f>
        <v>3427400000</v>
      </c>
      <c r="C87" s="22" t="s">
        <v>80</v>
      </c>
      <c r="D87" s="24" t="str">
        <f>Source!H44</f>
        <v>шт.</v>
      </c>
      <c r="E87" s="23">
        <f>Source!I44</f>
        <v>1</v>
      </c>
      <c r="F87" s="26">
        <f>Source!AK44</f>
        <v>0</v>
      </c>
      <c r="G87" s="35" t="s">
        <v>3</v>
      </c>
      <c r="H87" s="23">
        <f>Source!AW44</f>
        <v>1</v>
      </c>
      <c r="I87" s="26">
        <f>ROUND((ROUND((Source!AC44*Source!AW44*Source!I44),2)),2)+(ROUND((ROUND(((Source!ET44)*Source!AV44*Source!I44),2)),2)+ROUND((ROUND(((Source!AE44-(Source!EU44))*Source!AV44*Source!I44),2)),2))+ROUND((ROUND((Source!AF44*Source!AV44*Source!I44),2)),2)</f>
        <v>0</v>
      </c>
      <c r="J87" s="23">
        <f>IF(Source!BC44&lt;&gt; 0, Source!BC44, 1)</f>
        <v>1</v>
      </c>
      <c r="K87" s="26">
        <f>Source!O44</f>
        <v>0</v>
      </c>
      <c r="Q87">
        <f>ROUND((Source!BZ44/100)*(ROUND((ROUND((Source!AF44*Source!AV44*Source!I44),2)),2)+(ROUND((ROUND(((Source!EU44)*Source!AV44*Source!I44),2)),2)+ROUND((ROUND(((Source!AE44-(Source!EU44))*Source!AV44*Source!I44),2)),2))), 2)</f>
        <v>0</v>
      </c>
      <c r="R87">
        <f>Source!X44</f>
        <v>0</v>
      </c>
      <c r="S87">
        <f>ROUND((Source!CA44/100)*(ROUND((ROUND((Source!AF44*Source!AV44*Source!I44),2)),2)+(ROUND((ROUND(((Source!EU44)*Source!AV44*Source!I44),2)),2)+ROUND((ROUND(((Source!AE44-(Source!EU44))*Source!AV44*Source!I44),2)),2))), 2)</f>
        <v>0</v>
      </c>
      <c r="T87">
        <f>Source!Y44</f>
        <v>0</v>
      </c>
      <c r="U87">
        <f>ROUND((175/100)*((ROUND((ROUND(((Source!EU44)*Source!AV44*Source!I44),2)),2)+ROUND((ROUND(((Source!AE44-(Source!EU44))*Source!AV44*Source!I44),2)),2))), 2)</f>
        <v>0</v>
      </c>
      <c r="V87">
        <f>ROUND((0/100)*((ROUND((ROUND(((Source!EU44)*Source!AV44*Source!I44),2)*Source!BS44),2)+ROUND((ROUND(((Source!AE44-(Source!EU44))*Source!AV44*Source!I44),2)*Source!BS44),2))), 2)</f>
        <v>0</v>
      </c>
      <c r="X87">
        <f>IF(Source!BI44&lt;=1,I87, 0)</f>
        <v>0</v>
      </c>
      <c r="Y87">
        <f>IF(Source!BI44=2,I87, 0)</f>
        <v>0</v>
      </c>
      <c r="Z87">
        <f>IF(Source!BI44=3,I87, 0)</f>
        <v>0</v>
      </c>
      <c r="AA87">
        <f>IF(Source!BI44=4,I87, 0)</f>
        <v>0</v>
      </c>
      <c r="AI87">
        <v>3</v>
      </c>
    </row>
    <row r="88" spans="1:35" ht="28.5">
      <c r="A88" s="22" t="s">
        <v>81</v>
      </c>
      <c r="B88" s="22" t="str">
        <f>Source!F45</f>
        <v>3449639000</v>
      </c>
      <c r="C88" s="22" t="s">
        <v>83</v>
      </c>
      <c r="D88" s="24" t="str">
        <f>Source!H45</f>
        <v>1000 шт.</v>
      </c>
      <c r="E88" s="23">
        <f>Source!I45</f>
        <v>6.1000000000000004E-3</v>
      </c>
      <c r="F88" s="26">
        <f>Source!AK45</f>
        <v>0</v>
      </c>
      <c r="G88" s="35" t="s">
        <v>3</v>
      </c>
      <c r="H88" s="23">
        <f>Source!AW45</f>
        <v>1</v>
      </c>
      <c r="I88" s="26">
        <f>ROUND((ROUND((Source!AC45*Source!AW45*Source!I45),2)),2)+(ROUND((ROUND(((Source!ET45)*Source!AV45*Source!I45),2)),2)+ROUND((ROUND(((Source!AE45-(Source!EU45))*Source!AV45*Source!I45),2)),2))+ROUND((ROUND((Source!AF45*Source!AV45*Source!I45),2)),2)</f>
        <v>0</v>
      </c>
      <c r="J88" s="23">
        <f>IF(Source!BC45&lt;&gt; 0, Source!BC45, 1)</f>
        <v>1</v>
      </c>
      <c r="K88" s="26">
        <f>Source!O45</f>
        <v>0</v>
      </c>
      <c r="Q88">
        <f>ROUND((Source!BZ45/100)*(ROUND((ROUND((Source!AF45*Source!AV45*Source!I45),2)),2)+(ROUND((ROUND(((Source!EU45)*Source!AV45*Source!I45),2)),2)+ROUND((ROUND(((Source!AE45-(Source!EU45))*Source!AV45*Source!I45),2)),2))), 2)</f>
        <v>0</v>
      </c>
      <c r="R88">
        <f>Source!X45</f>
        <v>0</v>
      </c>
      <c r="S88">
        <f>ROUND((Source!CA45/100)*(ROUND((ROUND((Source!AF45*Source!AV45*Source!I45),2)),2)+(ROUND((ROUND(((Source!EU45)*Source!AV45*Source!I45),2)),2)+ROUND((ROUND(((Source!AE45-(Source!EU45))*Source!AV45*Source!I45),2)),2))), 2)</f>
        <v>0</v>
      </c>
      <c r="T88">
        <f>Source!Y45</f>
        <v>0</v>
      </c>
      <c r="U88">
        <f>ROUND((175/100)*((ROUND((ROUND(((Source!EU45)*Source!AV45*Source!I45),2)),2)+ROUND((ROUND(((Source!AE45-(Source!EU45))*Source!AV45*Source!I45),2)),2))), 2)</f>
        <v>0</v>
      </c>
      <c r="V88">
        <f>ROUND((0/100)*((ROUND((ROUND(((Source!EU45)*Source!AV45*Source!I45),2)*Source!BS45),2)+ROUND((ROUND(((Source!AE45-(Source!EU45))*Source!AV45*Source!I45),2)*Source!BS45),2))), 2)</f>
        <v>0</v>
      </c>
      <c r="X88">
        <f>IF(Source!BI45&lt;=1,I88, 0)</f>
        <v>0</v>
      </c>
      <c r="Y88">
        <f>IF(Source!BI45=2,I88, 0)</f>
        <v>0</v>
      </c>
      <c r="Z88">
        <f>IF(Source!BI45=3,I88, 0)</f>
        <v>0</v>
      </c>
      <c r="AA88">
        <f>IF(Source!BI45=4,I88, 0)</f>
        <v>0</v>
      </c>
      <c r="AI88">
        <v>3</v>
      </c>
    </row>
    <row r="89" spans="1:35" ht="28.5">
      <c r="A89" s="22" t="s">
        <v>85</v>
      </c>
      <c r="B89" s="22" t="str">
        <f>Source!F46</f>
        <v>5290900000</v>
      </c>
      <c r="C89" s="22" t="s">
        <v>38</v>
      </c>
      <c r="D89" s="24" t="str">
        <f>Source!H46</f>
        <v>т</v>
      </c>
      <c r="E89" s="23">
        <f>Source!I46</f>
        <v>4.0000000000000001E-3</v>
      </c>
      <c r="F89" s="26">
        <f>Source!AK46</f>
        <v>0</v>
      </c>
      <c r="G89" s="35" t="s">
        <v>3</v>
      </c>
      <c r="H89" s="23">
        <f>Source!AW46</f>
        <v>1</v>
      </c>
      <c r="I89" s="26">
        <f>ROUND((ROUND((Source!AC46*Source!AW46*Source!I46),2)),2)+(ROUND((ROUND(((Source!ET46)*Source!AV46*Source!I46),2)),2)+ROUND((ROUND(((Source!AE46-(Source!EU46))*Source!AV46*Source!I46),2)),2))+ROUND((ROUND((Source!AF46*Source!AV46*Source!I46),2)),2)</f>
        <v>0</v>
      </c>
      <c r="J89" s="23">
        <f>IF(Source!BC46&lt;&gt; 0, Source!BC46, 1)</f>
        <v>1</v>
      </c>
      <c r="K89" s="26">
        <f>Source!O46</f>
        <v>0</v>
      </c>
      <c r="Q89">
        <f>ROUND((Source!BZ46/100)*(ROUND((ROUND((Source!AF46*Source!AV46*Source!I46),2)),2)+(ROUND((ROUND(((Source!EU46)*Source!AV46*Source!I46),2)),2)+ROUND((ROUND(((Source!AE46-(Source!EU46))*Source!AV46*Source!I46),2)),2))), 2)</f>
        <v>0</v>
      </c>
      <c r="R89">
        <f>Source!X46</f>
        <v>0</v>
      </c>
      <c r="S89">
        <f>ROUND((Source!CA46/100)*(ROUND((ROUND((Source!AF46*Source!AV46*Source!I46),2)),2)+(ROUND((ROUND(((Source!EU46)*Source!AV46*Source!I46),2)),2)+ROUND((ROUND(((Source!AE46-(Source!EU46))*Source!AV46*Source!I46),2)),2))), 2)</f>
        <v>0</v>
      </c>
      <c r="T89">
        <f>Source!Y46</f>
        <v>0</v>
      </c>
      <c r="U89">
        <f>ROUND((175/100)*((ROUND((ROUND(((Source!EU46)*Source!AV46*Source!I46),2)),2)+ROUND((ROUND(((Source!AE46-(Source!EU46))*Source!AV46*Source!I46),2)),2))), 2)</f>
        <v>0</v>
      </c>
      <c r="V89">
        <f>ROUND((0/100)*((ROUND((ROUND(((Source!EU46)*Source!AV46*Source!I46),2)*Source!BS46),2)+ROUND((ROUND(((Source!AE46-(Source!EU46))*Source!AV46*Source!I46),2)*Source!BS46),2))), 2)</f>
        <v>0</v>
      </c>
      <c r="X89">
        <f>IF(Source!BI46&lt;=1,I89, 0)</f>
        <v>0</v>
      </c>
      <c r="Y89">
        <f>IF(Source!BI46=2,I89, 0)</f>
        <v>0</v>
      </c>
      <c r="Z89">
        <f>IF(Source!BI46=3,I89, 0)</f>
        <v>0</v>
      </c>
      <c r="AA89">
        <f>IF(Source!BI46=4,I89, 0)</f>
        <v>0</v>
      </c>
      <c r="AI89">
        <v>3</v>
      </c>
    </row>
    <row r="90" spans="1:35" ht="14.25">
      <c r="A90" s="22"/>
      <c r="B90" s="22"/>
      <c r="C90" s="22" t="s">
        <v>487</v>
      </c>
      <c r="D90" s="24" t="s">
        <v>488</v>
      </c>
      <c r="E90" s="23">
        <f>Source!BZ42</f>
        <v>97</v>
      </c>
      <c r="F90" s="26"/>
      <c r="G90" s="25"/>
      <c r="H90" s="23"/>
      <c r="I90" s="26">
        <f>SUM(Q81:Q89)</f>
        <v>33.58</v>
      </c>
      <c r="J90" s="23">
        <f>Source!AT42</f>
        <v>97</v>
      </c>
      <c r="K90" s="26">
        <f>SUM(R81:R89)</f>
        <v>1939.66</v>
      </c>
    </row>
    <row r="91" spans="1:35" ht="14.25">
      <c r="A91" s="22"/>
      <c r="B91" s="22"/>
      <c r="C91" s="22" t="s">
        <v>489</v>
      </c>
      <c r="D91" s="24" t="s">
        <v>488</v>
      </c>
      <c r="E91" s="23">
        <f>Source!CA42</f>
        <v>51</v>
      </c>
      <c r="F91" s="26"/>
      <c r="G91" s="25"/>
      <c r="H91" s="23"/>
      <c r="I91" s="26">
        <f>SUM(S81:S90)</f>
        <v>17.66</v>
      </c>
      <c r="J91" s="23">
        <f>Source!AU42</f>
        <v>51</v>
      </c>
      <c r="K91" s="26">
        <f>SUM(T81:T90)</f>
        <v>1019.82</v>
      </c>
    </row>
    <row r="92" spans="1:35" ht="14.25">
      <c r="A92" s="28"/>
      <c r="B92" s="28"/>
      <c r="C92" s="28" t="s">
        <v>490</v>
      </c>
      <c r="D92" s="29" t="s">
        <v>491</v>
      </c>
      <c r="E92" s="30">
        <f>Source!AQ42</f>
        <v>2.36</v>
      </c>
      <c r="F92" s="31"/>
      <c r="G92" s="32" t="str">
        <f>Source!DI42</f>
        <v>*1,2</v>
      </c>
      <c r="H92" s="30">
        <f>Source!AV42</f>
        <v>1</v>
      </c>
      <c r="I92" s="31">
        <f>Source!U42</f>
        <v>2.8319999999999999</v>
      </c>
      <c r="J92" s="30"/>
      <c r="K92" s="31"/>
      <c r="AB92" s="27">
        <f>I92</f>
        <v>2.8319999999999999</v>
      </c>
    </row>
    <row r="93" spans="1:35" ht="15">
      <c r="C93" s="33" t="s">
        <v>492</v>
      </c>
      <c r="H93" s="69">
        <f>I82+I83+I85+I90+I91+SUM(I86:I89)-SUMIF(AI86:AI89, 5, I86:I89)-SUMIF(AI86:AI89, 6, I86:I89)</f>
        <v>120.22</v>
      </c>
      <c r="I93" s="69"/>
      <c r="J93" s="69">
        <f>K82+K83+K85+K90+K91+SUM(K86:K89)-SUMIF(AI86:AI89, 5, K86:K89)-SUMIF(AI86:AI89, 6, K86:K89)</f>
        <v>5165.41</v>
      </c>
      <c r="K93" s="69"/>
    </row>
    <row r="94" spans="1:35" ht="15" hidden="1">
      <c r="C94" s="33" t="s">
        <v>493</v>
      </c>
      <c r="H94" s="68">
        <f>SUMIF(AI86:AI89, 5, I86:I89)+SUMIF(AI86:AI89, 6, I86:I89)</f>
        <v>0</v>
      </c>
      <c r="I94" s="68"/>
      <c r="J94" s="68">
        <f>SUMIF(AI86:AI89, 5, K86:K89)+SUMIF(AI86:AI89, 6, K86:K89)</f>
        <v>0</v>
      </c>
      <c r="K94" s="68"/>
    </row>
    <row r="95" spans="1:35" ht="15">
      <c r="H95" s="68"/>
      <c r="I95" s="68"/>
      <c r="J95" s="68"/>
      <c r="K95" s="68"/>
      <c r="O95" s="27">
        <f>I82+I83+I85+I90+I91+SUM(I86:I89)</f>
        <v>120.22</v>
      </c>
      <c r="P95" s="27">
        <f>K82+K83+K85+K90+K91+SUM(K86:K89)</f>
        <v>5165.41</v>
      </c>
      <c r="X95">
        <f>IF(Source!BI42&lt;=1,I82+I83+I85+I90+I91-0, 0)</f>
        <v>0</v>
      </c>
      <c r="Y95">
        <f>IF(Source!BI42=2,I82+I83+I85+I90+I91-0, 0)</f>
        <v>111.03999999999999</v>
      </c>
      <c r="Z95">
        <f>IF(Source!BI42=3,I82+I83+I85+I90+I91-0, 0)</f>
        <v>0</v>
      </c>
      <c r="AA95">
        <f>IF(Source!BI42=4,I82+I83+I85+I90+I91,0)</f>
        <v>0</v>
      </c>
    </row>
    <row r="97" spans="1:35" ht="42.75">
      <c r="A97" s="28">
        <v>6</v>
      </c>
      <c r="B97" s="28" t="str">
        <f>Source!F47</f>
        <v>Цена поставщика</v>
      </c>
      <c r="C97" s="28" t="s">
        <v>498</v>
      </c>
      <c r="D97" s="29" t="str">
        <f>Source!H47</f>
        <v>шт.</v>
      </c>
      <c r="E97" s="30">
        <f>Source!I47</f>
        <v>1</v>
      </c>
      <c r="F97" s="31">
        <f>Source!AL47</f>
        <v>5813.94</v>
      </c>
      <c r="G97" s="32" t="str">
        <f>Source!DD47</f>
        <v/>
      </c>
      <c r="H97" s="30">
        <f>Source!AW47</f>
        <v>1</v>
      </c>
      <c r="I97" s="31">
        <f>ROUND((ROUND((Source!AC47*Source!I47),2)),2)</f>
        <v>5813.94</v>
      </c>
      <c r="J97" s="30">
        <f>IF(Source!BC47&lt;&gt; 0, Source!BC47, 1)</f>
        <v>1</v>
      </c>
      <c r="K97" s="31">
        <f>Source!P47</f>
        <v>5813.94</v>
      </c>
      <c r="Q97">
        <f>ROUND((Source!BZ47/100)*(ROUND((ROUND((Source!AF47*Source!AV47*Source!I47),2)),2)+(ROUND((ROUND(((Source!EU47)*Source!AV47*Source!I47),2)),2)+ROUND((ROUND(((Source!AE47-(Source!EU47))*Source!AV47*Source!I47),2)),2))), 2)</f>
        <v>0</v>
      </c>
      <c r="R97">
        <f>Source!X47</f>
        <v>0</v>
      </c>
      <c r="S97">
        <f>ROUND((Source!CA47/100)*(ROUND((ROUND((Source!AF47*Source!AV47*Source!I47),2)),2)+(ROUND((ROUND(((Source!EU47)*Source!AV47*Source!I47),2)),2)+ROUND((ROUND(((Source!AE47-(Source!EU47))*Source!AV47*Source!I47),2)),2))), 2)</f>
        <v>0</v>
      </c>
      <c r="T97">
        <f>Source!Y47</f>
        <v>0</v>
      </c>
      <c r="U97">
        <f>ROUND((175/100)*((ROUND((ROUND(((Source!EU47)*Source!AV47*Source!I47),2)),2)+ROUND((ROUND(((Source!AE47-(Source!EU47))*Source!AV47*Source!I47),2)),2))), 2)</f>
        <v>0</v>
      </c>
      <c r="V97">
        <f>ROUND((0/100)*((ROUND((ROUND(((Source!EU47)*Source!AV47*Source!I47),2)*Source!BS47),2)+ROUND((ROUND(((Source!AE47-(Source!EU47))*Source!AV47*Source!I47),2)*Source!BS47),2))), 2)</f>
        <v>0</v>
      </c>
      <c r="AI97">
        <v>5</v>
      </c>
    </row>
    <row r="98" spans="1:35" ht="15">
      <c r="C98" s="33" t="s">
        <v>497</v>
      </c>
      <c r="H98" s="69">
        <f>I97+0</f>
        <v>5813.94</v>
      </c>
      <c r="I98" s="69"/>
      <c r="J98" s="69">
        <f>K97+0</f>
        <v>5813.94</v>
      </c>
      <c r="K98" s="69"/>
      <c r="O98" s="27">
        <f>I97+0</f>
        <v>5813.94</v>
      </c>
      <c r="P98" s="27">
        <f>K97+0</f>
        <v>5813.94</v>
      </c>
      <c r="X98">
        <f>IF(Source!BI47&lt;=1,I97-0, 0)</f>
        <v>0</v>
      </c>
      <c r="Y98">
        <f>IF(Source!BI47=2,I97-0, 0)</f>
        <v>0</v>
      </c>
      <c r="Z98">
        <f>IF(Source!BI47=3,I97-0, 0)</f>
        <v>5813.94</v>
      </c>
      <c r="AA98">
        <f>IF(Source!BI47=4,I97,0)</f>
        <v>0</v>
      </c>
    </row>
    <row r="100" spans="1:35" ht="99.75">
      <c r="A100" s="22">
        <v>7</v>
      </c>
      <c r="B100" s="22" t="str">
        <f>Source!F48</f>
        <v>4.8-241-1</v>
      </c>
      <c r="C100" s="22" t="s">
        <v>91</v>
      </c>
      <c r="D100" s="24" t="str">
        <f>Source!H48</f>
        <v>100 жил</v>
      </c>
      <c r="E100" s="23">
        <f>Source!I48</f>
        <v>0.4</v>
      </c>
      <c r="F100" s="26"/>
      <c r="G100" s="25"/>
      <c r="H100" s="23"/>
      <c r="I100" s="26"/>
      <c r="J100" s="23"/>
      <c r="K100" s="26"/>
      <c r="Q100">
        <f>ROUND((Source!BZ48/100)*(ROUND((ROUND((Source!AF48*Source!AV48*Source!I48),2)),2)+(ROUND((ROUND((((Source!EU48*1.2))*Source!AV48*Source!I48),2)),2)+ROUND((ROUND(((Source!AE48-((Source!EU48*1.2)))*Source!AV48*Source!I48),2)),2))), 2)</f>
        <v>93.51</v>
      </c>
      <c r="R100">
        <f>Source!X48</f>
        <v>5401.03</v>
      </c>
      <c r="S100">
        <f>ROUND((Source!CA48/100)*(ROUND((ROUND((Source!AF48*Source!AV48*Source!I48),2)),2)+(ROUND((ROUND((((Source!EU48*1.2))*Source!AV48*Source!I48),2)),2)+ROUND((ROUND(((Source!AE48-((Source!EU48*1.2)))*Source!AV48*Source!I48),2)),2))), 2)</f>
        <v>49.16</v>
      </c>
      <c r="T100">
        <f>Source!Y48</f>
        <v>2839.72</v>
      </c>
      <c r="U100">
        <f>ROUND((175/100)*((ROUND((ROUND((((Source!EU48*1.2))*Source!AV48*Source!I48),2)),2)+ROUND((ROUND(((Source!AE48-((Source!EU48*1.2)))*Source!AV48*Source!I48),2)),2))), 2)</f>
        <v>0.11</v>
      </c>
      <c r="V100">
        <f>ROUND((0/100)*((ROUND((ROUND((((Source!EU48*1.2))*Source!AV48*Source!I48),2)*Source!BS48),2)+ROUND((ROUND(((Source!AE48-((Source!EU48*1.2)))*Source!AV48*Source!I48),2)*Source!BS48),2))), 2)</f>
        <v>0</v>
      </c>
      <c r="AI100">
        <v>0</v>
      </c>
    </row>
    <row r="101" spans="1:35">
      <c r="C101" s="36" t="str">
        <f>"Объем: "&amp;Source!I48&amp;"=40/"&amp;"100"</f>
        <v>Объем: 0,4=40/100</v>
      </c>
    </row>
    <row r="102" spans="1:35" ht="14.25">
      <c r="A102" s="22"/>
      <c r="B102" s="22"/>
      <c r="C102" s="22" t="s">
        <v>485</v>
      </c>
      <c r="D102" s="24"/>
      <c r="E102" s="23"/>
      <c r="F102" s="26">
        <f>Source!AO48</f>
        <v>200.7</v>
      </c>
      <c r="G102" s="25" t="str">
        <f>Source!DG48</f>
        <v>*1,2</v>
      </c>
      <c r="H102" s="23">
        <f>Source!AV48</f>
        <v>1</v>
      </c>
      <c r="I102" s="26">
        <f>ROUND((ROUND((Source!AF48*Source!AV48*Source!I48),2)),2)</f>
        <v>96.34</v>
      </c>
      <c r="J102" s="23">
        <f>IF(Source!BA48&lt;&gt; 0, Source!BA48, 1)</f>
        <v>57.76</v>
      </c>
      <c r="K102" s="26">
        <f>Source!S48</f>
        <v>5564.6</v>
      </c>
      <c r="W102">
        <f>I102</f>
        <v>96.34</v>
      </c>
    </row>
    <row r="103" spans="1:35" ht="14.25">
      <c r="A103" s="22"/>
      <c r="B103" s="22"/>
      <c r="C103" s="22" t="s">
        <v>486</v>
      </c>
      <c r="D103" s="24"/>
      <c r="E103" s="23"/>
      <c r="F103" s="26">
        <f>Source!AM48</f>
        <v>0.83</v>
      </c>
      <c r="G103" s="25" t="str">
        <f>Source!DE48</f>
        <v>*1,2</v>
      </c>
      <c r="H103" s="23">
        <f>Source!AV48</f>
        <v>1</v>
      </c>
      <c r="I103" s="26">
        <f>(ROUND((ROUND((((Source!ET48*1.2))*Source!AV48*Source!I48),2)),2)+ROUND((ROUND(((Source!AE48-((Source!EU48*1.2)))*Source!AV48*Source!I48),2)),2))</f>
        <v>0.4</v>
      </c>
      <c r="J103" s="23">
        <f>IF(Source!BB48&lt;&gt; 0, Source!BB48, 1)</f>
        <v>18.04</v>
      </c>
      <c r="K103" s="26">
        <f>Source!Q48</f>
        <v>7.22</v>
      </c>
    </row>
    <row r="104" spans="1:35" ht="14.25">
      <c r="A104" s="22"/>
      <c r="B104" s="22"/>
      <c r="C104" s="22" t="s">
        <v>494</v>
      </c>
      <c r="D104" s="24"/>
      <c r="E104" s="23"/>
      <c r="F104" s="26">
        <f>Source!AN48</f>
        <v>0.13</v>
      </c>
      <c r="G104" s="25" t="str">
        <f>Source!DF48</f>
        <v>*1,2</v>
      </c>
      <c r="H104" s="23">
        <f>Source!AV48</f>
        <v>1</v>
      </c>
      <c r="I104" s="34">
        <f>(ROUND((ROUND((((Source!EU48*1.2))*Source!AV48*Source!I48),2)),2)+ROUND((ROUND(((Source!AE48-((Source!EU48*1.2)))*Source!AV48*Source!I48),2)),2))</f>
        <v>0.06</v>
      </c>
      <c r="J104" s="23">
        <f>IF(Source!BS48&lt;&gt; 0, Source!BS48, 1)</f>
        <v>57.76</v>
      </c>
      <c r="K104" s="34">
        <f>Source!R48</f>
        <v>3.47</v>
      </c>
      <c r="W104">
        <f>I104</f>
        <v>0.06</v>
      </c>
    </row>
    <row r="105" spans="1:35" ht="14.25">
      <c r="A105" s="22"/>
      <c r="B105" s="22"/>
      <c r="C105" s="22" t="s">
        <v>495</v>
      </c>
      <c r="D105" s="24"/>
      <c r="E105" s="23"/>
      <c r="F105" s="26">
        <f>Source!AL48</f>
        <v>74.099999999999994</v>
      </c>
      <c r="G105" s="25" t="str">
        <f>Source!DD48</f>
        <v>*1</v>
      </c>
      <c r="H105" s="23">
        <f>Source!AW48</f>
        <v>1</v>
      </c>
      <c r="I105" s="26">
        <f>ROUND((ROUND((Source!AC48*Source!AW48*Source!I48),2)),2)</f>
        <v>29.64</v>
      </c>
      <c r="J105" s="23">
        <f>IF(Source!BC48&lt;&gt; 0, Source!BC48, 1)</f>
        <v>5.63</v>
      </c>
      <c r="K105" s="26">
        <f>Source!P48</f>
        <v>166.87</v>
      </c>
    </row>
    <row r="106" spans="1:35" ht="28.5">
      <c r="A106" s="22" t="s">
        <v>94</v>
      </c>
      <c r="B106" s="22" t="str">
        <f>Source!F49</f>
        <v>3449800000</v>
      </c>
      <c r="C106" s="22" t="s">
        <v>35</v>
      </c>
      <c r="D106" s="24" t="str">
        <f>Source!H49</f>
        <v>шт.</v>
      </c>
      <c r="E106" s="23">
        <f>Source!I49</f>
        <v>40.799999999999997</v>
      </c>
      <c r="F106" s="26">
        <f>Source!AK49</f>
        <v>0</v>
      </c>
      <c r="G106" s="35" t="s">
        <v>3</v>
      </c>
      <c r="H106" s="23">
        <f>Source!AW49</f>
        <v>1</v>
      </c>
      <c r="I106" s="26">
        <f>ROUND((ROUND((Source!AC49*Source!AW49*Source!I49),2)),2)+(ROUND((ROUND(((Source!ET49)*Source!AV49*Source!I49),2)),2)+ROUND((ROUND(((Source!AE49-(Source!EU49))*Source!AV49*Source!I49),2)),2))+ROUND((ROUND((Source!AF49*Source!AV49*Source!I49),2)),2)</f>
        <v>0</v>
      </c>
      <c r="J106" s="23">
        <f>IF(Source!BC49&lt;&gt; 0, Source!BC49, 1)</f>
        <v>1</v>
      </c>
      <c r="K106" s="26">
        <f>Source!O49</f>
        <v>0</v>
      </c>
      <c r="Q106">
        <f>ROUND((Source!BZ49/100)*(ROUND((ROUND((Source!AF49*Source!AV49*Source!I49),2)),2)+(ROUND((ROUND(((Source!EU49)*Source!AV49*Source!I49),2)),2)+ROUND((ROUND(((Source!AE49-(Source!EU49))*Source!AV49*Source!I49),2)),2))), 2)</f>
        <v>0</v>
      </c>
      <c r="R106">
        <f>Source!X49</f>
        <v>0</v>
      </c>
      <c r="S106">
        <f>ROUND((Source!CA49/100)*(ROUND((ROUND((Source!AF49*Source!AV49*Source!I49),2)),2)+(ROUND((ROUND(((Source!EU49)*Source!AV49*Source!I49),2)),2)+ROUND((ROUND(((Source!AE49-(Source!EU49))*Source!AV49*Source!I49),2)),2))), 2)</f>
        <v>0</v>
      </c>
      <c r="T106">
        <f>Source!Y49</f>
        <v>0</v>
      </c>
      <c r="U106">
        <f>ROUND((175/100)*((ROUND((ROUND(((Source!EU49)*Source!AV49*Source!I49),2)),2)+ROUND((ROUND(((Source!AE49-(Source!EU49))*Source!AV49*Source!I49),2)),2))), 2)</f>
        <v>0</v>
      </c>
      <c r="V106">
        <f>ROUND((0/100)*((ROUND((ROUND(((Source!EU49)*Source!AV49*Source!I49),2)*Source!BS49),2)+ROUND((ROUND(((Source!AE49-(Source!EU49))*Source!AV49*Source!I49),2)*Source!BS49),2))), 2)</f>
        <v>0</v>
      </c>
      <c r="X106">
        <f>IF(Source!BI49&lt;=1,I106, 0)</f>
        <v>0</v>
      </c>
      <c r="Y106">
        <f>IF(Source!BI49=2,I106, 0)</f>
        <v>0</v>
      </c>
      <c r="Z106">
        <f>IF(Source!BI49=3,I106, 0)</f>
        <v>0</v>
      </c>
      <c r="AA106">
        <f>IF(Source!BI49=4,I106, 0)</f>
        <v>0</v>
      </c>
      <c r="AI106">
        <v>3</v>
      </c>
    </row>
    <row r="107" spans="1:35" ht="14.25">
      <c r="A107" s="22"/>
      <c r="B107" s="22"/>
      <c r="C107" s="22" t="s">
        <v>487</v>
      </c>
      <c r="D107" s="24" t="s">
        <v>488</v>
      </c>
      <c r="E107" s="23">
        <f>Source!BZ48</f>
        <v>97</v>
      </c>
      <c r="F107" s="26"/>
      <c r="G107" s="25"/>
      <c r="H107" s="23"/>
      <c r="I107" s="26">
        <f>SUM(Q100:Q106)</f>
        <v>93.51</v>
      </c>
      <c r="J107" s="23">
        <f>Source!AT48</f>
        <v>97</v>
      </c>
      <c r="K107" s="26">
        <f>SUM(R100:R106)</f>
        <v>5401.03</v>
      </c>
    </row>
    <row r="108" spans="1:35" ht="14.25">
      <c r="A108" s="22"/>
      <c r="B108" s="22"/>
      <c r="C108" s="22" t="s">
        <v>489</v>
      </c>
      <c r="D108" s="24" t="s">
        <v>488</v>
      </c>
      <c r="E108" s="23">
        <f>Source!CA48</f>
        <v>51</v>
      </c>
      <c r="F108" s="26"/>
      <c r="G108" s="25"/>
      <c r="H108" s="23"/>
      <c r="I108" s="26">
        <f>SUM(S100:S107)</f>
        <v>49.16</v>
      </c>
      <c r="J108" s="23">
        <f>Source!AU48</f>
        <v>51</v>
      </c>
      <c r="K108" s="26">
        <f>SUM(T100:T107)</f>
        <v>2839.72</v>
      </c>
    </row>
    <row r="109" spans="1:35" ht="14.25">
      <c r="A109" s="28"/>
      <c r="B109" s="28"/>
      <c r="C109" s="28" t="s">
        <v>490</v>
      </c>
      <c r="D109" s="29" t="s">
        <v>491</v>
      </c>
      <c r="E109" s="30">
        <f>Source!AQ48</f>
        <v>15.45</v>
      </c>
      <c r="F109" s="31"/>
      <c r="G109" s="32" t="str">
        <f>Source!DI48</f>
        <v>*1,2</v>
      </c>
      <c r="H109" s="30">
        <f>Source!AV48</f>
        <v>1</v>
      </c>
      <c r="I109" s="31">
        <f>Source!U48</f>
        <v>7.4160000000000004</v>
      </c>
      <c r="J109" s="30"/>
      <c r="K109" s="31"/>
      <c r="AB109" s="27">
        <f>I109</f>
        <v>7.4160000000000004</v>
      </c>
    </row>
    <row r="110" spans="1:35" ht="15">
      <c r="C110" s="33" t="s">
        <v>492</v>
      </c>
      <c r="H110" s="69">
        <f>I102+I103+I105+I107+I108+SUM(I106:I106)-SUMIF(AI106:AI106, 5, I106:I106)-SUMIF(AI106:AI106, 6, I106:I106)</f>
        <v>269.05</v>
      </c>
      <c r="I110" s="69"/>
      <c r="J110" s="69">
        <f>K102+K103+K105+K107+K108+SUM(K106:K106)-SUMIF(AI106:AI106, 5, K106:K106)-SUMIF(AI106:AI106, 6, K106:K106)</f>
        <v>13979.44</v>
      </c>
      <c r="K110" s="69"/>
    </row>
    <row r="111" spans="1:35" ht="15" hidden="1">
      <c r="C111" s="33" t="s">
        <v>493</v>
      </c>
      <c r="H111" s="68">
        <f>SUMIF(AI106:AI106, 5, I106:I106)+SUMIF(AI106:AI106, 6, I106:I106)</f>
        <v>0</v>
      </c>
      <c r="I111" s="68"/>
      <c r="J111" s="68">
        <f>SUMIF(AI106:AI106, 5, K106:K106)+SUMIF(AI106:AI106, 6, K106:K106)</f>
        <v>0</v>
      </c>
      <c r="K111" s="68"/>
    </row>
    <row r="112" spans="1:35" ht="15">
      <c r="H112" s="68"/>
      <c r="I112" s="68"/>
      <c r="J112" s="68"/>
      <c r="K112" s="68"/>
      <c r="O112" s="27">
        <f>I102+I103+I105+I107+I108+SUM(I106:I106)</f>
        <v>269.05</v>
      </c>
      <c r="P112" s="27">
        <f>K102+K103+K105+K107+K108+SUM(K106:K106)</f>
        <v>13979.44</v>
      </c>
      <c r="X112">
        <f>IF(Source!BI48&lt;=1,I102+I103+I105+I107+I108-0, 0)</f>
        <v>0</v>
      </c>
      <c r="Y112">
        <f>IF(Source!BI48=2,I102+I103+I105+I107+I108-0, 0)</f>
        <v>269.05</v>
      </c>
      <c r="Z112">
        <f>IF(Source!BI48=3,I102+I103+I105+I107+I108-0, 0)</f>
        <v>0</v>
      </c>
      <c r="AA112">
        <f>IF(Source!BI48=4,I102+I103+I105+I107+I108,0)</f>
        <v>0</v>
      </c>
    </row>
    <row r="114" spans="1:35" ht="57">
      <c r="A114" s="22">
        <v>8</v>
      </c>
      <c r="B114" s="22" t="str">
        <f>Source!F50</f>
        <v>4.8-224-4</v>
      </c>
      <c r="C114" s="22" t="s">
        <v>97</v>
      </c>
      <c r="D114" s="24" t="str">
        <f>Source!H50</f>
        <v>1 ПОСТ</v>
      </c>
      <c r="E114" s="23">
        <f>Source!I50</f>
        <v>1</v>
      </c>
      <c r="F114" s="26"/>
      <c r="G114" s="25"/>
      <c r="H114" s="23"/>
      <c r="I114" s="26"/>
      <c r="J114" s="23"/>
      <c r="K114" s="26"/>
      <c r="Q114">
        <f>ROUND((Source!BZ50/100)*(ROUND((ROUND((Source!AF50*Source!AV50*Source!I50),2)),2)+(ROUND((ROUND((((Source!EU50*1.2))*Source!AV50*Source!I50),2)),2)+ROUND((ROUND(((Source!AE50-((Source!EU50*1.2)))*Source!AV50*Source!I50),2)),2))), 2)</f>
        <v>29</v>
      </c>
      <c r="R114">
        <f>Source!X50</f>
        <v>1675.21</v>
      </c>
      <c r="S114">
        <f>ROUND((Source!CA50/100)*(ROUND((ROUND((Source!AF50*Source!AV50*Source!I50),2)),2)+(ROUND((ROUND((((Source!EU50*1.2))*Source!AV50*Source!I50),2)),2)+ROUND((ROUND(((Source!AE50-((Source!EU50*1.2)))*Source!AV50*Source!I50),2)),2))), 2)</f>
        <v>15.25</v>
      </c>
      <c r="T114">
        <f>Source!Y50</f>
        <v>880.78</v>
      </c>
      <c r="U114">
        <f>ROUND((175/100)*((ROUND((ROUND((((Source!EU50*1.2))*Source!AV50*Source!I50),2)),2)+ROUND((ROUND(((Source!AE50-((Source!EU50*1.2)))*Source!AV50*Source!I50),2)),2))), 2)</f>
        <v>0</v>
      </c>
      <c r="V114">
        <f>ROUND((0/100)*((ROUND((ROUND((((Source!EU50*1.2))*Source!AV50*Source!I50),2)*Source!BS50),2)+ROUND((ROUND(((Source!AE50-((Source!EU50*1.2)))*Source!AV50*Source!I50),2)*Source!BS50),2))), 2)</f>
        <v>0</v>
      </c>
      <c r="AI114">
        <v>0</v>
      </c>
    </row>
    <row r="115" spans="1:35" ht="14.25">
      <c r="A115" s="22"/>
      <c r="B115" s="22"/>
      <c r="C115" s="22" t="s">
        <v>485</v>
      </c>
      <c r="D115" s="24"/>
      <c r="E115" s="23"/>
      <c r="F115" s="26">
        <f>Source!AO50</f>
        <v>24.92</v>
      </c>
      <c r="G115" s="25" t="str">
        <f>Source!DG50</f>
        <v>*1,2</v>
      </c>
      <c r="H115" s="23">
        <f>Source!AV50</f>
        <v>1</v>
      </c>
      <c r="I115" s="26">
        <f>ROUND((ROUND((Source!AF50*Source!AV50*Source!I50),2)),2)</f>
        <v>29.9</v>
      </c>
      <c r="J115" s="23">
        <f>IF(Source!BA50&lt;&gt; 0, Source!BA50, 1)</f>
        <v>57.76</v>
      </c>
      <c r="K115" s="26">
        <f>Source!S50</f>
        <v>1727.02</v>
      </c>
      <c r="W115">
        <f>I115</f>
        <v>29.9</v>
      </c>
    </row>
    <row r="116" spans="1:35" ht="14.25">
      <c r="A116" s="22"/>
      <c r="B116" s="22"/>
      <c r="C116" s="22" t="s">
        <v>486</v>
      </c>
      <c r="D116" s="24"/>
      <c r="E116" s="23"/>
      <c r="F116" s="26">
        <f>Source!AM50</f>
        <v>0.79</v>
      </c>
      <c r="G116" s="25" t="str">
        <f>Source!DE50</f>
        <v>*1,2</v>
      </c>
      <c r="H116" s="23">
        <f>Source!AV50</f>
        <v>1</v>
      </c>
      <c r="I116" s="26">
        <f>(ROUND((ROUND((((Source!ET50*1.2))*Source!AV50*Source!I50),2)),2)+ROUND((ROUND(((Source!AE50-((Source!EU50*1.2)))*Source!AV50*Source!I50),2)),2))</f>
        <v>0.95</v>
      </c>
      <c r="J116" s="23">
        <f>IF(Source!BB50&lt;&gt; 0, Source!BB50, 1)</f>
        <v>12.46</v>
      </c>
      <c r="K116" s="26">
        <f>Source!Q50</f>
        <v>11.84</v>
      </c>
    </row>
    <row r="117" spans="1:35" ht="14.25">
      <c r="A117" s="22"/>
      <c r="B117" s="22"/>
      <c r="C117" s="22" t="s">
        <v>495</v>
      </c>
      <c r="D117" s="24"/>
      <c r="E117" s="23"/>
      <c r="F117" s="26">
        <f>Source!AL50</f>
        <v>25.26</v>
      </c>
      <c r="G117" s="25" t="str">
        <f>Source!DD50</f>
        <v>*1</v>
      </c>
      <c r="H117" s="23">
        <f>Source!AW50</f>
        <v>1</v>
      </c>
      <c r="I117" s="26">
        <f>ROUND((ROUND((Source!AC50*Source!AW50*Source!I50),2)),2)</f>
        <v>25.26</v>
      </c>
      <c r="J117" s="23">
        <f>IF(Source!BC50&lt;&gt; 0, Source!BC50, 1)</f>
        <v>6.03</v>
      </c>
      <c r="K117" s="26">
        <f>Source!P50</f>
        <v>152.32</v>
      </c>
    </row>
    <row r="118" spans="1:35" ht="28.5">
      <c r="A118" s="22" t="s">
        <v>100</v>
      </c>
      <c r="B118" s="22" t="str">
        <f>Source!F51</f>
        <v>1.1-1-58</v>
      </c>
      <c r="C118" s="22" t="s">
        <v>65</v>
      </c>
      <c r="D118" s="24" t="str">
        <f>Source!H51</f>
        <v>т</v>
      </c>
      <c r="E118" s="23">
        <f>Source!I51</f>
        <v>5.0000000000000002E-5</v>
      </c>
      <c r="F118" s="26">
        <f>Source!AK51</f>
        <v>24609.759999999998</v>
      </c>
      <c r="G118" s="35" t="s">
        <v>3</v>
      </c>
      <c r="H118" s="23">
        <f>Source!AW51</f>
        <v>1</v>
      </c>
      <c r="I118" s="26">
        <f>ROUND((ROUND((Source!AC51*Source!AW51*Source!I51),2)),2)+(ROUND((ROUND(((Source!ET51)*Source!AV51*Source!I51),2)),2)+ROUND((ROUND(((Source!AE51-(Source!EU51))*Source!AV51*Source!I51),2)),2))+ROUND((ROUND((Source!AF51*Source!AV51*Source!I51),2)),2)</f>
        <v>1.23</v>
      </c>
      <c r="J118" s="23">
        <f>IF(Source!BC51&lt;&gt; 0, Source!BC51, 1)</f>
        <v>3.49</v>
      </c>
      <c r="K118" s="26">
        <f>Source!O51</f>
        <v>4.29</v>
      </c>
      <c r="Q118">
        <f>ROUND((Source!BZ51/100)*(ROUND((ROUND((Source!AF51*Source!AV51*Source!I51),2)),2)+(ROUND((ROUND(((Source!EU51)*Source!AV51*Source!I51),2)),2)+ROUND((ROUND(((Source!AE51-(Source!EU51))*Source!AV51*Source!I51),2)),2))), 2)</f>
        <v>0</v>
      </c>
      <c r="R118">
        <f>Source!X51</f>
        <v>0</v>
      </c>
      <c r="S118">
        <f>ROUND((Source!CA51/100)*(ROUND((ROUND((Source!AF51*Source!AV51*Source!I51),2)),2)+(ROUND((ROUND(((Source!EU51)*Source!AV51*Source!I51),2)),2)+ROUND((ROUND(((Source!AE51-(Source!EU51))*Source!AV51*Source!I51),2)),2))), 2)</f>
        <v>0</v>
      </c>
      <c r="T118">
        <f>Source!Y51</f>
        <v>0</v>
      </c>
      <c r="U118">
        <f>ROUND((175/100)*((ROUND((ROUND(((Source!EU51)*Source!AV51*Source!I51),2)),2)+ROUND((ROUND(((Source!AE51-(Source!EU51))*Source!AV51*Source!I51),2)),2))), 2)</f>
        <v>0</v>
      </c>
      <c r="V118">
        <f>ROUND((0/100)*((ROUND((ROUND(((Source!EU51)*Source!AV51*Source!I51),2)*Source!BS51),2)+ROUND((ROUND(((Source!AE51-(Source!EU51))*Source!AV51*Source!I51),2)*Source!BS51),2))), 2)</f>
        <v>0</v>
      </c>
      <c r="X118">
        <f>IF(Source!BI51&lt;=1,I118, 0)</f>
        <v>0</v>
      </c>
      <c r="Y118">
        <f>IF(Source!BI51=2,I118, 0)</f>
        <v>1.23</v>
      </c>
      <c r="Z118">
        <f>IF(Source!BI51=3,I118, 0)</f>
        <v>0</v>
      </c>
      <c r="AA118">
        <f>IF(Source!BI51=4,I118, 0)</f>
        <v>0</v>
      </c>
      <c r="AI118">
        <v>3</v>
      </c>
    </row>
    <row r="119" spans="1:35" ht="42.75">
      <c r="A119" s="22" t="s">
        <v>101</v>
      </c>
      <c r="B119" s="22" t="str">
        <f>Source!F52</f>
        <v>3428400000</v>
      </c>
      <c r="C119" s="22" t="s">
        <v>103</v>
      </c>
      <c r="D119" s="24" t="str">
        <f>Source!H52</f>
        <v>шт.</v>
      </c>
      <c r="E119" s="23">
        <f>Source!I52</f>
        <v>1</v>
      </c>
      <c r="F119" s="26">
        <f>Source!AK52</f>
        <v>0</v>
      </c>
      <c r="G119" s="35" t="s">
        <v>3</v>
      </c>
      <c r="H119" s="23">
        <f>Source!AW52</f>
        <v>1</v>
      </c>
      <c r="I119" s="26">
        <f>ROUND((ROUND((Source!AC52*Source!AW52*Source!I52),2)),2)+(ROUND((ROUND(((Source!ET52)*Source!AV52*Source!I52),2)),2)+ROUND((ROUND(((Source!AE52-(Source!EU52))*Source!AV52*Source!I52),2)),2))+ROUND((ROUND((Source!AF52*Source!AV52*Source!I52),2)),2)</f>
        <v>0</v>
      </c>
      <c r="J119" s="23">
        <f>IF(Source!BC52&lt;&gt; 0, Source!BC52, 1)</f>
        <v>1</v>
      </c>
      <c r="K119" s="26">
        <f>Source!O52</f>
        <v>0</v>
      </c>
      <c r="Q119">
        <f>ROUND((Source!BZ52/100)*(ROUND((ROUND((Source!AF52*Source!AV52*Source!I52),2)),2)+(ROUND((ROUND(((Source!EU52)*Source!AV52*Source!I52),2)),2)+ROUND((ROUND(((Source!AE52-(Source!EU52))*Source!AV52*Source!I52),2)),2))), 2)</f>
        <v>0</v>
      </c>
      <c r="R119">
        <f>Source!X52</f>
        <v>0</v>
      </c>
      <c r="S119">
        <f>ROUND((Source!CA52/100)*(ROUND((ROUND((Source!AF52*Source!AV52*Source!I52),2)),2)+(ROUND((ROUND(((Source!EU52)*Source!AV52*Source!I52),2)),2)+ROUND((ROUND(((Source!AE52-(Source!EU52))*Source!AV52*Source!I52),2)),2))), 2)</f>
        <v>0</v>
      </c>
      <c r="T119">
        <f>Source!Y52</f>
        <v>0</v>
      </c>
      <c r="U119">
        <f>ROUND((175/100)*((ROUND((ROUND(((Source!EU52)*Source!AV52*Source!I52),2)),2)+ROUND((ROUND(((Source!AE52-(Source!EU52))*Source!AV52*Source!I52),2)),2))), 2)</f>
        <v>0</v>
      </c>
      <c r="V119">
        <f>ROUND((0/100)*((ROUND((ROUND(((Source!EU52)*Source!AV52*Source!I52),2)*Source!BS52),2)+ROUND((ROUND(((Source!AE52-(Source!EU52))*Source!AV52*Source!I52),2)*Source!BS52),2))), 2)</f>
        <v>0</v>
      </c>
      <c r="X119">
        <f>IF(Source!BI52&lt;=1,I119, 0)</f>
        <v>0</v>
      </c>
      <c r="Y119">
        <f>IF(Source!BI52=2,I119, 0)</f>
        <v>0</v>
      </c>
      <c r="Z119">
        <f>IF(Source!BI52=3,I119, 0)</f>
        <v>0</v>
      </c>
      <c r="AA119">
        <f>IF(Source!BI52=4,I119, 0)</f>
        <v>0</v>
      </c>
      <c r="AI119">
        <v>3</v>
      </c>
    </row>
    <row r="120" spans="1:35" ht="28.5">
      <c r="A120" s="22" t="s">
        <v>104</v>
      </c>
      <c r="B120" s="22" t="str">
        <f>Source!F53</f>
        <v>3449639000</v>
      </c>
      <c r="C120" s="22" t="s">
        <v>83</v>
      </c>
      <c r="D120" s="24" t="str">
        <f>Source!H53</f>
        <v>1000 шт.</v>
      </c>
      <c r="E120" s="23">
        <f>Source!I53</f>
        <v>6.1000000000000004E-3</v>
      </c>
      <c r="F120" s="26">
        <f>Source!AK53</f>
        <v>0</v>
      </c>
      <c r="G120" s="35" t="s">
        <v>3</v>
      </c>
      <c r="H120" s="23">
        <f>Source!AW53</f>
        <v>1</v>
      </c>
      <c r="I120" s="26">
        <f>ROUND((ROUND((Source!AC53*Source!AW53*Source!I53),2)),2)+(ROUND((ROUND(((Source!ET53)*Source!AV53*Source!I53),2)),2)+ROUND((ROUND(((Source!AE53-(Source!EU53))*Source!AV53*Source!I53),2)),2))+ROUND((ROUND((Source!AF53*Source!AV53*Source!I53),2)),2)</f>
        <v>0</v>
      </c>
      <c r="J120" s="23">
        <f>IF(Source!BC53&lt;&gt; 0, Source!BC53, 1)</f>
        <v>1</v>
      </c>
      <c r="K120" s="26">
        <f>Source!O53</f>
        <v>0</v>
      </c>
      <c r="Q120">
        <f>ROUND((Source!BZ53/100)*(ROUND((ROUND((Source!AF53*Source!AV53*Source!I53),2)),2)+(ROUND((ROUND(((Source!EU53)*Source!AV53*Source!I53),2)),2)+ROUND((ROUND(((Source!AE53-(Source!EU53))*Source!AV53*Source!I53),2)),2))), 2)</f>
        <v>0</v>
      </c>
      <c r="R120">
        <f>Source!X53</f>
        <v>0</v>
      </c>
      <c r="S120">
        <f>ROUND((Source!CA53/100)*(ROUND((ROUND((Source!AF53*Source!AV53*Source!I53),2)),2)+(ROUND((ROUND(((Source!EU53)*Source!AV53*Source!I53),2)),2)+ROUND((ROUND(((Source!AE53-(Source!EU53))*Source!AV53*Source!I53),2)),2))), 2)</f>
        <v>0</v>
      </c>
      <c r="T120">
        <f>Source!Y53</f>
        <v>0</v>
      </c>
      <c r="U120">
        <f>ROUND((175/100)*((ROUND((ROUND(((Source!EU53)*Source!AV53*Source!I53),2)),2)+ROUND((ROUND(((Source!AE53-(Source!EU53))*Source!AV53*Source!I53),2)),2))), 2)</f>
        <v>0</v>
      </c>
      <c r="V120">
        <f>ROUND((0/100)*((ROUND((ROUND(((Source!EU53)*Source!AV53*Source!I53),2)*Source!BS53),2)+ROUND((ROUND(((Source!AE53-(Source!EU53))*Source!AV53*Source!I53),2)*Source!BS53),2))), 2)</f>
        <v>0</v>
      </c>
      <c r="X120">
        <f>IF(Source!BI53&lt;=1,I120, 0)</f>
        <v>0</v>
      </c>
      <c r="Y120">
        <f>IF(Source!BI53=2,I120, 0)</f>
        <v>0</v>
      </c>
      <c r="Z120">
        <f>IF(Source!BI53=3,I120, 0)</f>
        <v>0</v>
      </c>
      <c r="AA120">
        <f>IF(Source!BI53=4,I120, 0)</f>
        <v>0</v>
      </c>
      <c r="AI120">
        <v>3</v>
      </c>
    </row>
    <row r="121" spans="1:35" ht="28.5">
      <c r="A121" s="22" t="s">
        <v>105</v>
      </c>
      <c r="B121" s="22" t="str">
        <f>Source!F54</f>
        <v>5290900000</v>
      </c>
      <c r="C121" s="22" t="s">
        <v>38</v>
      </c>
      <c r="D121" s="24" t="str">
        <f>Source!H54</f>
        <v>т</v>
      </c>
      <c r="E121" s="23">
        <f>Source!I54</f>
        <v>2E-3</v>
      </c>
      <c r="F121" s="26">
        <f>Source!AK54</f>
        <v>0</v>
      </c>
      <c r="G121" s="35" t="s">
        <v>3</v>
      </c>
      <c r="H121" s="23">
        <f>Source!AW54</f>
        <v>1</v>
      </c>
      <c r="I121" s="26">
        <f>ROUND((ROUND((Source!AC54*Source!AW54*Source!I54),2)),2)+(ROUND((ROUND(((Source!ET54)*Source!AV54*Source!I54),2)),2)+ROUND((ROUND(((Source!AE54-(Source!EU54))*Source!AV54*Source!I54),2)),2))+ROUND((ROUND((Source!AF54*Source!AV54*Source!I54),2)),2)</f>
        <v>0</v>
      </c>
      <c r="J121" s="23">
        <f>IF(Source!BC54&lt;&gt; 0, Source!BC54, 1)</f>
        <v>1</v>
      </c>
      <c r="K121" s="26">
        <f>Source!O54</f>
        <v>0</v>
      </c>
      <c r="Q121">
        <f>ROUND((Source!BZ54/100)*(ROUND((ROUND((Source!AF54*Source!AV54*Source!I54),2)),2)+(ROUND((ROUND(((Source!EU54)*Source!AV54*Source!I54),2)),2)+ROUND((ROUND(((Source!AE54-(Source!EU54))*Source!AV54*Source!I54),2)),2))), 2)</f>
        <v>0</v>
      </c>
      <c r="R121">
        <f>Source!X54</f>
        <v>0</v>
      </c>
      <c r="S121">
        <f>ROUND((Source!CA54/100)*(ROUND((ROUND((Source!AF54*Source!AV54*Source!I54),2)),2)+(ROUND((ROUND(((Source!EU54)*Source!AV54*Source!I54),2)),2)+ROUND((ROUND(((Source!AE54-(Source!EU54))*Source!AV54*Source!I54),2)),2))), 2)</f>
        <v>0</v>
      </c>
      <c r="T121">
        <f>Source!Y54</f>
        <v>0</v>
      </c>
      <c r="U121">
        <f>ROUND((175/100)*((ROUND((ROUND(((Source!EU54)*Source!AV54*Source!I54),2)),2)+ROUND((ROUND(((Source!AE54-(Source!EU54))*Source!AV54*Source!I54),2)),2))), 2)</f>
        <v>0</v>
      </c>
      <c r="V121">
        <f>ROUND((0/100)*((ROUND((ROUND(((Source!EU54)*Source!AV54*Source!I54),2)*Source!BS54),2)+ROUND((ROUND(((Source!AE54-(Source!EU54))*Source!AV54*Source!I54),2)*Source!BS54),2))), 2)</f>
        <v>0</v>
      </c>
      <c r="X121">
        <f>IF(Source!BI54&lt;=1,I121, 0)</f>
        <v>0</v>
      </c>
      <c r="Y121">
        <f>IF(Source!BI54=2,I121, 0)</f>
        <v>0</v>
      </c>
      <c r="Z121">
        <f>IF(Source!BI54=3,I121, 0)</f>
        <v>0</v>
      </c>
      <c r="AA121">
        <f>IF(Source!BI54=4,I121, 0)</f>
        <v>0</v>
      </c>
      <c r="AI121">
        <v>3</v>
      </c>
    </row>
    <row r="122" spans="1:35" ht="14.25">
      <c r="A122" s="22"/>
      <c r="B122" s="22"/>
      <c r="C122" s="22" t="s">
        <v>487</v>
      </c>
      <c r="D122" s="24" t="s">
        <v>488</v>
      </c>
      <c r="E122" s="23">
        <f>Source!BZ50</f>
        <v>97</v>
      </c>
      <c r="F122" s="26"/>
      <c r="G122" s="25"/>
      <c r="H122" s="23"/>
      <c r="I122" s="26">
        <f>SUM(Q114:Q121)</f>
        <v>29</v>
      </c>
      <c r="J122" s="23">
        <f>Source!AT50</f>
        <v>97</v>
      </c>
      <c r="K122" s="26">
        <f>SUM(R114:R121)</f>
        <v>1675.21</v>
      </c>
    </row>
    <row r="123" spans="1:35" ht="14.25">
      <c r="A123" s="22"/>
      <c r="B123" s="22"/>
      <c r="C123" s="22" t="s">
        <v>489</v>
      </c>
      <c r="D123" s="24" t="s">
        <v>488</v>
      </c>
      <c r="E123" s="23">
        <f>Source!CA50</f>
        <v>51</v>
      </c>
      <c r="F123" s="26"/>
      <c r="G123" s="25"/>
      <c r="H123" s="23"/>
      <c r="I123" s="26">
        <f>SUM(S114:S122)</f>
        <v>15.25</v>
      </c>
      <c r="J123" s="23">
        <f>Source!AU50</f>
        <v>51</v>
      </c>
      <c r="K123" s="26">
        <f>SUM(T114:T122)</f>
        <v>880.78</v>
      </c>
    </row>
    <row r="124" spans="1:35" ht="14.25">
      <c r="A124" s="28"/>
      <c r="B124" s="28"/>
      <c r="C124" s="28" t="s">
        <v>490</v>
      </c>
      <c r="D124" s="29" t="s">
        <v>491</v>
      </c>
      <c r="E124" s="30">
        <f>Source!AQ50</f>
        <v>2</v>
      </c>
      <c r="F124" s="31"/>
      <c r="G124" s="32" t="str">
        <f>Source!DI50</f>
        <v>*1,2</v>
      </c>
      <c r="H124" s="30">
        <f>Source!AV50</f>
        <v>1</v>
      </c>
      <c r="I124" s="31">
        <f>Source!U50</f>
        <v>2.4</v>
      </c>
      <c r="J124" s="30"/>
      <c r="K124" s="31"/>
      <c r="AB124" s="27">
        <f>I124</f>
        <v>2.4</v>
      </c>
    </row>
    <row r="125" spans="1:35" ht="15">
      <c r="C125" s="33" t="s">
        <v>492</v>
      </c>
      <c r="H125" s="69">
        <f>I115+I116+I117+I122+I123+SUM(I118:I121)-SUMIF(AI118:AI121, 5, I118:I121)-SUMIF(AI118:AI121, 6, I118:I121)</f>
        <v>101.59</v>
      </c>
      <c r="I125" s="69"/>
      <c r="J125" s="69">
        <f>K115+K116+K117+K122+K123+SUM(K118:K121)-SUMIF(AI118:AI121, 5, K118:K121)-SUMIF(AI118:AI121, 6, K118:K121)</f>
        <v>4451.46</v>
      </c>
      <c r="K125" s="69"/>
    </row>
    <row r="126" spans="1:35" ht="15" hidden="1">
      <c r="C126" s="33" t="s">
        <v>493</v>
      </c>
      <c r="H126" s="68">
        <f>SUMIF(AI118:AI121, 5, I118:I121)+SUMIF(AI118:AI121, 6, I118:I121)</f>
        <v>0</v>
      </c>
      <c r="I126" s="68"/>
      <c r="J126" s="68">
        <f>SUMIF(AI118:AI121, 5, K118:K121)+SUMIF(AI118:AI121, 6, K118:K121)</f>
        <v>0</v>
      </c>
      <c r="K126" s="68"/>
    </row>
    <row r="127" spans="1:35" ht="15">
      <c r="H127" s="68"/>
      <c r="I127" s="68"/>
      <c r="J127" s="68"/>
      <c r="K127" s="68"/>
      <c r="O127" s="27">
        <f>I115+I116+I117+I122+I123+SUM(I118:I121)</f>
        <v>101.59</v>
      </c>
      <c r="P127" s="27">
        <f>K115+K116+K117+K122+K123+SUM(K118:K121)</f>
        <v>4451.46</v>
      </c>
      <c r="X127">
        <f>IF(Source!BI50&lt;=1,I115+I116+I117+I122+I123-0, 0)</f>
        <v>0</v>
      </c>
      <c r="Y127">
        <f>IF(Source!BI50=2,I115+I116+I117+I122+I123-0, 0)</f>
        <v>100.36</v>
      </c>
      <c r="Z127">
        <f>IF(Source!BI50=3,I115+I116+I117+I122+I123-0, 0)</f>
        <v>0</v>
      </c>
      <c r="AA127">
        <f>IF(Source!BI50=4,I115+I116+I117+I122+I123,0)</f>
        <v>0</v>
      </c>
    </row>
    <row r="129" spans="1:35" ht="42.75">
      <c r="A129" s="28">
        <v>9</v>
      </c>
      <c r="B129" s="28" t="str">
        <f>Source!F55</f>
        <v>Цена поставщика</v>
      </c>
      <c r="C129" s="28" t="s">
        <v>499</v>
      </c>
      <c r="D129" s="29" t="str">
        <f>Source!H55</f>
        <v>шт.</v>
      </c>
      <c r="E129" s="30">
        <f>Source!I55</f>
        <v>1</v>
      </c>
      <c r="F129" s="31">
        <f>Source!AL55</f>
        <v>3920.49</v>
      </c>
      <c r="G129" s="32" t="str">
        <f>Source!DD55</f>
        <v/>
      </c>
      <c r="H129" s="30">
        <f>Source!AW55</f>
        <v>1</v>
      </c>
      <c r="I129" s="31">
        <f>ROUND((ROUND((Source!AC55*Source!I55),2)),2)</f>
        <v>3920.49</v>
      </c>
      <c r="J129" s="30">
        <f>IF(Source!BC55&lt;&gt; 0, Source!BC55, 1)</f>
        <v>1</v>
      </c>
      <c r="K129" s="31">
        <f>Source!P55</f>
        <v>3920.49</v>
      </c>
      <c r="Q129">
        <f>ROUND((Source!BZ55/100)*(ROUND((ROUND((Source!AF55*Source!AV55*Source!I55),2)),2)+(ROUND((ROUND(((Source!EU55)*Source!AV55*Source!I55),2)),2)+ROUND((ROUND(((Source!AE55-(Source!EU55))*Source!AV55*Source!I55),2)),2))), 2)</f>
        <v>0</v>
      </c>
      <c r="R129">
        <f>Source!X55</f>
        <v>0</v>
      </c>
      <c r="S129">
        <f>ROUND((Source!CA55/100)*(ROUND((ROUND((Source!AF55*Source!AV55*Source!I55),2)),2)+(ROUND((ROUND(((Source!EU55)*Source!AV55*Source!I55),2)),2)+ROUND((ROUND(((Source!AE55-(Source!EU55))*Source!AV55*Source!I55),2)),2))), 2)</f>
        <v>0</v>
      </c>
      <c r="T129">
        <f>Source!Y55</f>
        <v>0</v>
      </c>
      <c r="U129">
        <f>ROUND((175/100)*((ROUND((ROUND(((Source!EU55)*Source!AV55*Source!I55),2)),2)+ROUND((ROUND(((Source!AE55-(Source!EU55))*Source!AV55*Source!I55),2)),2))), 2)</f>
        <v>0</v>
      </c>
      <c r="V129">
        <f>ROUND((0/100)*((ROUND((ROUND(((Source!EU55)*Source!AV55*Source!I55),2)*Source!BS55),2)+ROUND((ROUND(((Source!AE55-(Source!EU55))*Source!AV55*Source!I55),2)*Source!BS55),2))), 2)</f>
        <v>0</v>
      </c>
      <c r="AI129">
        <v>5</v>
      </c>
    </row>
    <row r="130" spans="1:35" ht="15">
      <c r="C130" s="33" t="s">
        <v>497</v>
      </c>
      <c r="H130" s="69">
        <f>I129+0</f>
        <v>3920.49</v>
      </c>
      <c r="I130" s="69"/>
      <c r="J130" s="69">
        <f>K129+0</f>
        <v>3920.49</v>
      </c>
      <c r="K130" s="69"/>
      <c r="O130" s="27">
        <f>I129+0</f>
        <v>3920.49</v>
      </c>
      <c r="P130" s="27">
        <f>K129+0</f>
        <v>3920.49</v>
      </c>
      <c r="X130">
        <f>IF(Source!BI55&lt;=1,I129-0, 0)</f>
        <v>0</v>
      </c>
      <c r="Y130">
        <f>IF(Source!BI55=2,I129-0, 0)</f>
        <v>0</v>
      </c>
      <c r="Z130">
        <f>IF(Source!BI55=3,I129-0, 0)</f>
        <v>3920.49</v>
      </c>
      <c r="AA130">
        <f>IF(Source!BI55=4,I129,0)</f>
        <v>0</v>
      </c>
    </row>
    <row r="132" spans="1:35" ht="57">
      <c r="A132" s="22">
        <v>10</v>
      </c>
      <c r="B132" s="22" t="str">
        <f>Source!F56</f>
        <v>5.1-20-4</v>
      </c>
      <c r="C132" s="22" t="s">
        <v>111</v>
      </c>
      <c r="D132" s="24" t="str">
        <f>Source!H56</f>
        <v>1  ШТ.</v>
      </c>
      <c r="E132" s="23">
        <f>Source!I56</f>
        <v>11</v>
      </c>
      <c r="F132" s="26"/>
      <c r="G132" s="25"/>
      <c r="H132" s="23"/>
      <c r="I132" s="26"/>
      <c r="J132" s="23"/>
      <c r="K132" s="26"/>
      <c r="Q132">
        <f>ROUND((Source!BZ56/100)*(ROUND((ROUND((Source!AF56*Source!AV56*Source!I56),2)),2)+(ROUND((ROUND(((Source!EU56)*Source!AV56*Source!I56),2)),2)+ROUND((ROUND(((Source!AE56-(Source!EU56))*Source!AV56*Source!I56),2)),2))), 2)</f>
        <v>144.16</v>
      </c>
      <c r="R132">
        <f>Source!X56</f>
        <v>8326.65</v>
      </c>
      <c r="S132">
        <f>ROUND((Source!CA56/100)*(ROUND((ROUND((Source!AF56*Source!AV56*Source!I56),2)),2)+(ROUND((ROUND(((Source!EU56)*Source!AV56*Source!I56),2)),2)+ROUND((ROUND(((Source!AE56-(Source!EU56))*Source!AV56*Source!I56),2)),2))), 2)</f>
        <v>70.13</v>
      </c>
      <c r="T132">
        <f>Source!Y56</f>
        <v>4050.8</v>
      </c>
      <c r="U132">
        <f>ROUND((175/100)*((ROUND((ROUND(((Source!EU56)*Source!AV56*Source!I56),2)),2)+ROUND((ROUND(((Source!AE56-(Source!EU56))*Source!AV56*Source!I56),2)),2))), 2)</f>
        <v>0</v>
      </c>
      <c r="V132">
        <f>ROUND((0/100)*((ROUND((ROUND(((Source!EU56)*Source!AV56*Source!I56),2)*Source!BS56),2)+ROUND((ROUND(((Source!AE56-(Source!EU56))*Source!AV56*Source!I56),2)*Source!BS56),2))), 2)</f>
        <v>0</v>
      </c>
      <c r="AI132">
        <v>0</v>
      </c>
    </row>
    <row r="133" spans="1:35" ht="14.25">
      <c r="A133" s="22"/>
      <c r="B133" s="22"/>
      <c r="C133" s="22" t="s">
        <v>485</v>
      </c>
      <c r="D133" s="24"/>
      <c r="E133" s="23"/>
      <c r="F133" s="26">
        <f>Source!AO56</f>
        <v>17.71</v>
      </c>
      <c r="G133" s="25" t="str">
        <f>Source!DG56</f>
        <v/>
      </c>
      <c r="H133" s="23">
        <f>Source!AV56</f>
        <v>1</v>
      </c>
      <c r="I133" s="26">
        <f>ROUND((ROUND((Source!AF56*Source!AV56*Source!I56),2)),2)</f>
        <v>194.81</v>
      </c>
      <c r="J133" s="23">
        <f>IF(Source!BA56&lt;&gt; 0, Source!BA56, 1)</f>
        <v>57.76</v>
      </c>
      <c r="K133" s="26">
        <f>Source!S56</f>
        <v>11252.23</v>
      </c>
      <c r="W133">
        <f>I133</f>
        <v>194.81</v>
      </c>
    </row>
    <row r="134" spans="1:35" ht="14.25">
      <c r="A134" s="22"/>
      <c r="B134" s="22"/>
      <c r="C134" s="22" t="s">
        <v>487</v>
      </c>
      <c r="D134" s="24" t="s">
        <v>488</v>
      </c>
      <c r="E134" s="23">
        <f>Source!BZ56</f>
        <v>74</v>
      </c>
      <c r="F134" s="26"/>
      <c r="G134" s="25"/>
      <c r="H134" s="23"/>
      <c r="I134" s="26">
        <f>SUM(Q132:Q133)</f>
        <v>144.16</v>
      </c>
      <c r="J134" s="23">
        <f>Source!AT56</f>
        <v>74</v>
      </c>
      <c r="K134" s="26">
        <f>SUM(R132:R133)</f>
        <v>8326.65</v>
      </c>
    </row>
    <row r="135" spans="1:35" ht="14.25">
      <c r="A135" s="22"/>
      <c r="B135" s="22"/>
      <c r="C135" s="22" t="s">
        <v>489</v>
      </c>
      <c r="D135" s="24" t="s">
        <v>488</v>
      </c>
      <c r="E135" s="23">
        <f>Source!CA56</f>
        <v>36</v>
      </c>
      <c r="F135" s="26"/>
      <c r="G135" s="25"/>
      <c r="H135" s="23"/>
      <c r="I135" s="26">
        <f>SUM(S132:S134)</f>
        <v>70.13</v>
      </c>
      <c r="J135" s="23">
        <f>Source!AU56</f>
        <v>36</v>
      </c>
      <c r="K135" s="26">
        <f>SUM(T132:T134)</f>
        <v>4050.8</v>
      </c>
    </row>
    <row r="136" spans="1:35" ht="14.25">
      <c r="A136" s="28"/>
      <c r="B136" s="28"/>
      <c r="C136" s="28" t="s">
        <v>490</v>
      </c>
      <c r="D136" s="29" t="s">
        <v>491</v>
      </c>
      <c r="E136" s="30">
        <f>Source!AQ56</f>
        <v>1.44</v>
      </c>
      <c r="F136" s="31"/>
      <c r="G136" s="32" t="str">
        <f>Source!DI56</f>
        <v/>
      </c>
      <c r="H136" s="30">
        <f>Source!AV56</f>
        <v>1</v>
      </c>
      <c r="I136" s="31">
        <f>Source!U56</f>
        <v>15.84</v>
      </c>
      <c r="J136" s="30"/>
      <c r="K136" s="31"/>
      <c r="AB136" s="27">
        <f>I136</f>
        <v>15.84</v>
      </c>
    </row>
    <row r="137" spans="1:35" ht="15">
      <c r="C137" s="33" t="s">
        <v>492</v>
      </c>
      <c r="H137" s="69">
        <f>I133+I134+I135+0-0-0</f>
        <v>409.1</v>
      </c>
      <c r="I137" s="69"/>
      <c r="J137" s="69">
        <f>K133+K134+K135+0-0-0</f>
        <v>23629.679999999997</v>
      </c>
      <c r="K137" s="69"/>
    </row>
    <row r="138" spans="1:35" ht="15" hidden="1">
      <c r="C138" s="33" t="s">
        <v>493</v>
      </c>
      <c r="H138" s="68">
        <f>0+0</f>
        <v>0</v>
      </c>
      <c r="I138" s="68"/>
      <c r="J138" s="68">
        <f>0+0</f>
        <v>0</v>
      </c>
      <c r="K138" s="68"/>
    </row>
    <row r="139" spans="1:35" ht="15">
      <c r="H139" s="68"/>
      <c r="I139" s="68"/>
      <c r="J139" s="68"/>
      <c r="K139" s="68"/>
      <c r="O139" s="27">
        <f>I133+I134+I135+0</f>
        <v>409.1</v>
      </c>
      <c r="P139" s="27">
        <f>K133+K134+K135+0</f>
        <v>23629.679999999997</v>
      </c>
      <c r="X139">
        <f>IF(Source!BI56&lt;=1,I133+I134+I135-0, 0)</f>
        <v>0</v>
      </c>
      <c r="Y139">
        <f>IF(Source!BI56=2,I133+I134+I135-0, 0)</f>
        <v>0</v>
      </c>
      <c r="Z139">
        <f>IF(Source!BI56=3,I133+I134+I135-0, 0)</f>
        <v>0</v>
      </c>
      <c r="AA139">
        <f>IF(Source!BI56=4,I133+I134+I135,0)</f>
        <v>409.1</v>
      </c>
    </row>
    <row r="141" spans="1:35" ht="99.75">
      <c r="A141" s="22">
        <v>11</v>
      </c>
      <c r="B141" s="22" t="str">
        <f>Source!F57</f>
        <v>5.1-162-1</v>
      </c>
      <c r="C141" s="22" t="s">
        <v>118</v>
      </c>
      <c r="D141" s="24" t="str">
        <f>Source!H57</f>
        <v>1 измерение</v>
      </c>
      <c r="E141" s="23">
        <f>Source!I57</f>
        <v>3</v>
      </c>
      <c r="F141" s="26"/>
      <c r="G141" s="25"/>
      <c r="H141" s="23"/>
      <c r="I141" s="26"/>
      <c r="J141" s="23"/>
      <c r="K141" s="26"/>
      <c r="Q141">
        <f>ROUND((Source!BZ57/100)*(ROUND((ROUND((Source!AF57*Source!AV57*Source!I57),2)),2)+(ROUND((ROUND(((Source!EU57)*Source!AV57*Source!I57),2)),2)+ROUND((ROUND(((Source!AE57-(Source!EU57))*Source!AV57*Source!I57),2)),2))), 2)</f>
        <v>10.119999999999999</v>
      </c>
      <c r="R141">
        <f>Source!X57</f>
        <v>584.72</v>
      </c>
      <c r="S141">
        <f>ROUND((Source!CA57/100)*(ROUND((ROUND((Source!AF57*Source!AV57*Source!I57),2)),2)+(ROUND((ROUND(((Source!EU57)*Source!AV57*Source!I57),2)),2)+ROUND((ROUND(((Source!AE57-(Source!EU57))*Source!AV57*Source!I57),2)),2))), 2)</f>
        <v>4.92</v>
      </c>
      <c r="T141">
        <f>Source!Y57</f>
        <v>284.45999999999998</v>
      </c>
      <c r="U141">
        <f>ROUND((175/100)*((ROUND((ROUND(((Source!EU57)*Source!AV57*Source!I57),2)),2)+ROUND((ROUND(((Source!AE57-(Source!EU57))*Source!AV57*Source!I57),2)),2))), 2)</f>
        <v>0</v>
      </c>
      <c r="V141">
        <f>ROUND((0/100)*((ROUND((ROUND(((Source!EU57)*Source!AV57*Source!I57),2)*Source!BS57),2)+ROUND((ROUND(((Source!AE57-(Source!EU57))*Source!AV57*Source!I57),2)*Source!BS57),2))), 2)</f>
        <v>0</v>
      </c>
      <c r="AI141">
        <v>0</v>
      </c>
    </row>
    <row r="142" spans="1:35" ht="14.25">
      <c r="A142" s="22"/>
      <c r="B142" s="22"/>
      <c r="C142" s="22" t="s">
        <v>485</v>
      </c>
      <c r="D142" s="24"/>
      <c r="E142" s="23"/>
      <c r="F142" s="26">
        <f>Source!AO57</f>
        <v>4.5599999999999996</v>
      </c>
      <c r="G142" s="25" t="str">
        <f>Source!DG57</f>
        <v/>
      </c>
      <c r="H142" s="23">
        <f>Source!AV57</f>
        <v>1</v>
      </c>
      <c r="I142" s="26">
        <f>ROUND((ROUND((Source!AF57*Source!AV57*Source!I57),2)),2)</f>
        <v>13.68</v>
      </c>
      <c r="J142" s="23">
        <f>IF(Source!BA57&lt;&gt; 0, Source!BA57, 1)</f>
        <v>57.76</v>
      </c>
      <c r="K142" s="26">
        <f>Source!S57</f>
        <v>790.16</v>
      </c>
      <c r="W142">
        <f>I142</f>
        <v>13.68</v>
      </c>
    </row>
    <row r="143" spans="1:35" ht="14.25">
      <c r="A143" s="22"/>
      <c r="B143" s="22"/>
      <c r="C143" s="22" t="s">
        <v>487</v>
      </c>
      <c r="D143" s="24" t="s">
        <v>488</v>
      </c>
      <c r="E143" s="23">
        <f>Source!BZ57</f>
        <v>74</v>
      </c>
      <c r="F143" s="26"/>
      <c r="G143" s="25"/>
      <c r="H143" s="23"/>
      <c r="I143" s="26">
        <f>SUM(Q141:Q142)</f>
        <v>10.119999999999999</v>
      </c>
      <c r="J143" s="23">
        <f>Source!AT57</f>
        <v>74</v>
      </c>
      <c r="K143" s="26">
        <f>SUM(R141:R142)</f>
        <v>584.72</v>
      </c>
    </row>
    <row r="144" spans="1:35" ht="14.25">
      <c r="A144" s="22"/>
      <c r="B144" s="22"/>
      <c r="C144" s="22" t="s">
        <v>489</v>
      </c>
      <c r="D144" s="24" t="s">
        <v>488</v>
      </c>
      <c r="E144" s="23">
        <f>Source!CA57</f>
        <v>36</v>
      </c>
      <c r="F144" s="26"/>
      <c r="G144" s="25"/>
      <c r="H144" s="23"/>
      <c r="I144" s="26">
        <f>SUM(S141:S143)</f>
        <v>4.92</v>
      </c>
      <c r="J144" s="23">
        <f>Source!AU57</f>
        <v>36</v>
      </c>
      <c r="K144" s="26">
        <f>SUM(T141:T143)</f>
        <v>284.45999999999998</v>
      </c>
    </row>
    <row r="145" spans="1:35" ht="14.25">
      <c r="A145" s="28"/>
      <c r="B145" s="28"/>
      <c r="C145" s="28" t="s">
        <v>490</v>
      </c>
      <c r="D145" s="29" t="s">
        <v>491</v>
      </c>
      <c r="E145" s="30">
        <f>Source!AQ57</f>
        <v>0.28999999999999998</v>
      </c>
      <c r="F145" s="31"/>
      <c r="G145" s="32" t="str">
        <f>Source!DI57</f>
        <v/>
      </c>
      <c r="H145" s="30">
        <f>Source!AV57</f>
        <v>1</v>
      </c>
      <c r="I145" s="31">
        <f>Source!U57</f>
        <v>0.86999999999999988</v>
      </c>
      <c r="J145" s="30"/>
      <c r="K145" s="31"/>
      <c r="AB145" s="27">
        <f>I145</f>
        <v>0.86999999999999988</v>
      </c>
    </row>
    <row r="146" spans="1:35" ht="15">
      <c r="C146" s="33" t="s">
        <v>492</v>
      </c>
      <c r="H146" s="69">
        <f>I142+I143+I144+0-0-0</f>
        <v>28.72</v>
      </c>
      <c r="I146" s="69"/>
      <c r="J146" s="69">
        <f>K142+K143+K144+0-0-0</f>
        <v>1659.3400000000001</v>
      </c>
      <c r="K146" s="69"/>
    </row>
    <row r="147" spans="1:35" ht="15" hidden="1">
      <c r="C147" s="33" t="s">
        <v>493</v>
      </c>
      <c r="H147" s="68">
        <f>0+0</f>
        <v>0</v>
      </c>
      <c r="I147" s="68"/>
      <c r="J147" s="68">
        <f>0+0</f>
        <v>0</v>
      </c>
      <c r="K147" s="68"/>
    </row>
    <row r="148" spans="1:35" ht="15">
      <c r="H148" s="68"/>
      <c r="I148" s="68"/>
      <c r="J148" s="68"/>
      <c r="K148" s="68"/>
      <c r="O148" s="27">
        <f>I142+I143+I144+0</f>
        <v>28.72</v>
      </c>
      <c r="P148" s="27">
        <f>K142+K143+K144+0</f>
        <v>1659.3400000000001</v>
      </c>
      <c r="X148">
        <f>IF(Source!BI57&lt;=1,I142+I143+I144-0, 0)</f>
        <v>0</v>
      </c>
      <c r="Y148">
        <f>IF(Source!BI57=2,I142+I143+I144-0, 0)</f>
        <v>0</v>
      </c>
      <c r="Z148">
        <f>IF(Source!BI57=3,I142+I143+I144-0, 0)</f>
        <v>0</v>
      </c>
      <c r="AA148">
        <f>IF(Source!BI57=4,I142+I143+I144,0)</f>
        <v>28.72</v>
      </c>
    </row>
    <row r="150" spans="1:35" ht="42.75">
      <c r="A150" s="22">
        <v>12</v>
      </c>
      <c r="B150" s="22" t="str">
        <f>Source!F58</f>
        <v>5.1-152-1</v>
      </c>
      <c r="C150" s="22" t="s">
        <v>123</v>
      </c>
      <c r="D150" s="24" t="str">
        <f>Source!H58</f>
        <v>1 ТОЧКА</v>
      </c>
      <c r="E150" s="23">
        <f>Source!I58</f>
        <v>11</v>
      </c>
      <c r="F150" s="26"/>
      <c r="G150" s="25"/>
      <c r="H150" s="23"/>
      <c r="I150" s="26"/>
      <c r="J150" s="23"/>
      <c r="K150" s="26"/>
      <c r="Q150">
        <f>ROUND((Source!BZ58/100)*(ROUND((ROUND((Source!AF58*Source!AV58*Source!I58),2)),2)+(ROUND((ROUND(((Source!EU58)*Source!AV58*Source!I58),2)),2)+ROUND((ROUND(((Source!AE58-(Source!EU58))*Source!AV58*Source!I58),2)),2))), 2)</f>
        <v>15.47</v>
      </c>
      <c r="R150">
        <f>Source!X58</f>
        <v>893.31</v>
      </c>
      <c r="S150">
        <f>ROUND((Source!CA58/100)*(ROUND((ROUND((Source!AF58*Source!AV58*Source!I58),2)),2)+(ROUND((ROUND(((Source!EU58)*Source!AV58*Source!I58),2)),2)+ROUND((ROUND(((Source!AE58-(Source!EU58))*Source!AV58*Source!I58),2)),2))), 2)</f>
        <v>7.52</v>
      </c>
      <c r="T150">
        <f>Source!Y58</f>
        <v>434.58</v>
      </c>
      <c r="U150">
        <f>ROUND((175/100)*((ROUND((ROUND(((Source!EU58)*Source!AV58*Source!I58),2)),2)+ROUND((ROUND(((Source!AE58-(Source!EU58))*Source!AV58*Source!I58),2)),2))), 2)</f>
        <v>0</v>
      </c>
      <c r="V150">
        <f>ROUND((0/100)*((ROUND((ROUND(((Source!EU58)*Source!AV58*Source!I58),2)*Source!BS58),2)+ROUND((ROUND(((Source!AE58-(Source!EU58))*Source!AV58*Source!I58),2)*Source!BS58),2))), 2)</f>
        <v>0</v>
      </c>
      <c r="AI150">
        <v>0</v>
      </c>
    </row>
    <row r="151" spans="1:35" ht="14.25">
      <c r="A151" s="22"/>
      <c r="B151" s="22"/>
      <c r="C151" s="22" t="s">
        <v>485</v>
      </c>
      <c r="D151" s="24"/>
      <c r="E151" s="23"/>
      <c r="F151" s="26">
        <f>Source!AO58</f>
        <v>1.9</v>
      </c>
      <c r="G151" s="25" t="str">
        <f>Source!DG58</f>
        <v/>
      </c>
      <c r="H151" s="23">
        <f>Source!AV58</f>
        <v>1</v>
      </c>
      <c r="I151" s="26">
        <f>ROUND((ROUND((Source!AF58*Source!AV58*Source!I58),2)),2)</f>
        <v>20.9</v>
      </c>
      <c r="J151" s="23">
        <f>IF(Source!BA58&lt;&gt; 0, Source!BA58, 1)</f>
        <v>57.76</v>
      </c>
      <c r="K151" s="26">
        <f>Source!S58</f>
        <v>1207.18</v>
      </c>
      <c r="W151">
        <f>I151</f>
        <v>20.9</v>
      </c>
    </row>
    <row r="152" spans="1:35" ht="14.25">
      <c r="A152" s="22"/>
      <c r="B152" s="22"/>
      <c r="C152" s="22" t="s">
        <v>487</v>
      </c>
      <c r="D152" s="24" t="s">
        <v>488</v>
      </c>
      <c r="E152" s="23">
        <f>Source!BZ58</f>
        <v>74</v>
      </c>
      <c r="F152" s="26"/>
      <c r="G152" s="25"/>
      <c r="H152" s="23"/>
      <c r="I152" s="26">
        <f>SUM(Q150:Q151)</f>
        <v>15.47</v>
      </c>
      <c r="J152" s="23">
        <f>Source!AT58</f>
        <v>74</v>
      </c>
      <c r="K152" s="26">
        <f>SUM(R150:R151)</f>
        <v>893.31</v>
      </c>
    </row>
    <row r="153" spans="1:35" ht="14.25">
      <c r="A153" s="22"/>
      <c r="B153" s="22"/>
      <c r="C153" s="22" t="s">
        <v>489</v>
      </c>
      <c r="D153" s="24" t="s">
        <v>488</v>
      </c>
      <c r="E153" s="23">
        <f>Source!CA58</f>
        <v>36</v>
      </c>
      <c r="F153" s="26"/>
      <c r="G153" s="25"/>
      <c r="H153" s="23"/>
      <c r="I153" s="26">
        <f>SUM(S150:S152)</f>
        <v>7.52</v>
      </c>
      <c r="J153" s="23">
        <f>Source!AU58</f>
        <v>36</v>
      </c>
      <c r="K153" s="26">
        <f>SUM(T150:T152)</f>
        <v>434.58</v>
      </c>
    </row>
    <row r="154" spans="1:35" ht="14.25">
      <c r="A154" s="28"/>
      <c r="B154" s="28"/>
      <c r="C154" s="28" t="s">
        <v>490</v>
      </c>
      <c r="D154" s="29" t="s">
        <v>491</v>
      </c>
      <c r="E154" s="30">
        <f>Source!AQ58</f>
        <v>0.12</v>
      </c>
      <c r="F154" s="31"/>
      <c r="G154" s="32" t="str">
        <f>Source!DI58</f>
        <v/>
      </c>
      <c r="H154" s="30">
        <f>Source!AV58</f>
        <v>1</v>
      </c>
      <c r="I154" s="31">
        <f>Source!U58</f>
        <v>1.3199999999999998</v>
      </c>
      <c r="J154" s="30"/>
      <c r="K154" s="31"/>
      <c r="AB154" s="27">
        <f>I154</f>
        <v>1.3199999999999998</v>
      </c>
    </row>
    <row r="155" spans="1:35" ht="15">
      <c r="C155" s="33" t="s">
        <v>492</v>
      </c>
      <c r="H155" s="69">
        <f>I151+I152+I153+0-0-0</f>
        <v>43.89</v>
      </c>
      <c r="I155" s="69"/>
      <c r="J155" s="69">
        <f>K151+K152+K153+0-0-0</f>
        <v>2535.0699999999997</v>
      </c>
      <c r="K155" s="69"/>
    </row>
    <row r="156" spans="1:35" ht="15" hidden="1">
      <c r="C156" s="33" t="s">
        <v>493</v>
      </c>
      <c r="H156" s="68">
        <f>0+0</f>
        <v>0</v>
      </c>
      <c r="I156" s="68"/>
      <c r="J156" s="68">
        <f>0+0</f>
        <v>0</v>
      </c>
      <c r="K156" s="68"/>
    </row>
    <row r="157" spans="1:35" ht="15">
      <c r="H157" s="68"/>
      <c r="I157" s="68"/>
      <c r="J157" s="68"/>
      <c r="K157" s="68"/>
      <c r="O157" s="27">
        <f>I151+I152+I153+0</f>
        <v>43.89</v>
      </c>
      <c r="P157" s="27">
        <f>K151+K152+K153+0</f>
        <v>2535.0699999999997</v>
      </c>
      <c r="X157">
        <f>IF(Source!BI58&lt;=1,I151+I152+I153-0, 0)</f>
        <v>0</v>
      </c>
      <c r="Y157">
        <f>IF(Source!BI58=2,I151+I152+I153-0, 0)</f>
        <v>0</v>
      </c>
      <c r="Z157">
        <f>IF(Source!BI58=3,I151+I152+I153-0, 0)</f>
        <v>0</v>
      </c>
      <c r="AA157">
        <f>IF(Source!BI58=4,I151+I152+I153,0)</f>
        <v>43.89</v>
      </c>
    </row>
    <row r="159" spans="1:35" ht="57">
      <c r="A159" s="22">
        <v>13</v>
      </c>
      <c r="B159" s="22" t="str">
        <f>Source!F59</f>
        <v>5.1-155-1</v>
      </c>
      <c r="C159" s="22" t="s">
        <v>128</v>
      </c>
      <c r="D159" s="24" t="str">
        <f>Source!H59</f>
        <v>1 точка прикосновения</v>
      </c>
      <c r="E159" s="23">
        <f>Source!I59</f>
        <v>3</v>
      </c>
      <c r="F159" s="26"/>
      <c r="G159" s="25"/>
      <c r="H159" s="23"/>
      <c r="I159" s="26"/>
      <c r="J159" s="23"/>
      <c r="K159" s="26"/>
      <c r="Q159">
        <f>ROUND((Source!BZ59/100)*(ROUND((ROUND((Source!AF59*Source!AV59*Source!I59),2)),2)+(ROUND((ROUND(((Source!EU59)*Source!AV59*Source!I59),2)),2)+ROUND((ROUND(((Source!AE59-(Source!EU59))*Source!AV59*Source!I59),2)),2))), 2)</f>
        <v>393.52</v>
      </c>
      <c r="R159">
        <f>Source!X59</f>
        <v>22729.55</v>
      </c>
      <c r="S159">
        <f>ROUND((Source!CA59/100)*(ROUND((ROUND((Source!AF59*Source!AV59*Source!I59),2)),2)+(ROUND((ROUND(((Source!EU59)*Source!AV59*Source!I59),2)),2)+ROUND((ROUND(((Source!AE59-(Source!EU59))*Source!AV59*Source!I59),2)),2))), 2)</f>
        <v>191.44</v>
      </c>
      <c r="T159">
        <f>Source!Y59</f>
        <v>11057.62</v>
      </c>
      <c r="U159">
        <f>ROUND((175/100)*((ROUND((ROUND(((Source!EU59)*Source!AV59*Source!I59),2)),2)+ROUND((ROUND(((Source!AE59-(Source!EU59))*Source!AV59*Source!I59),2)),2))), 2)</f>
        <v>0</v>
      </c>
      <c r="V159">
        <f>ROUND((0/100)*((ROUND((ROUND(((Source!EU59)*Source!AV59*Source!I59),2)*Source!BS59),2)+ROUND((ROUND(((Source!AE59-(Source!EU59))*Source!AV59*Source!I59),2)*Source!BS59),2))), 2)</f>
        <v>0</v>
      </c>
      <c r="AI159">
        <v>0</v>
      </c>
    </row>
    <row r="160" spans="1:35" ht="14.25">
      <c r="A160" s="22"/>
      <c r="B160" s="22"/>
      <c r="C160" s="22" t="s">
        <v>485</v>
      </c>
      <c r="D160" s="24"/>
      <c r="E160" s="23"/>
      <c r="F160" s="26">
        <f>Source!AO59</f>
        <v>177.26</v>
      </c>
      <c r="G160" s="25" t="str">
        <f>Source!DG59</f>
        <v/>
      </c>
      <c r="H160" s="23">
        <f>Source!AV59</f>
        <v>1</v>
      </c>
      <c r="I160" s="26">
        <f>ROUND((ROUND((Source!AF59*Source!AV59*Source!I59),2)),2)</f>
        <v>531.78</v>
      </c>
      <c r="J160" s="23">
        <f>IF(Source!BA59&lt;&gt; 0, Source!BA59, 1)</f>
        <v>57.76</v>
      </c>
      <c r="K160" s="26">
        <f>Source!S59</f>
        <v>30715.61</v>
      </c>
      <c r="W160">
        <f>I160</f>
        <v>531.78</v>
      </c>
    </row>
    <row r="161" spans="1:35" ht="14.25">
      <c r="A161" s="22"/>
      <c r="B161" s="22"/>
      <c r="C161" s="22" t="s">
        <v>487</v>
      </c>
      <c r="D161" s="24" t="s">
        <v>488</v>
      </c>
      <c r="E161" s="23">
        <f>Source!BZ59</f>
        <v>74</v>
      </c>
      <c r="F161" s="26"/>
      <c r="G161" s="25"/>
      <c r="H161" s="23"/>
      <c r="I161" s="26">
        <f>SUM(Q159:Q160)</f>
        <v>393.52</v>
      </c>
      <c r="J161" s="23">
        <f>Source!AT59</f>
        <v>74</v>
      </c>
      <c r="K161" s="26">
        <f>SUM(R159:R160)</f>
        <v>22729.55</v>
      </c>
    </row>
    <row r="162" spans="1:35" ht="14.25">
      <c r="A162" s="22"/>
      <c r="B162" s="22"/>
      <c r="C162" s="22" t="s">
        <v>489</v>
      </c>
      <c r="D162" s="24" t="s">
        <v>488</v>
      </c>
      <c r="E162" s="23">
        <f>Source!CA59</f>
        <v>36</v>
      </c>
      <c r="F162" s="26"/>
      <c r="G162" s="25"/>
      <c r="H162" s="23"/>
      <c r="I162" s="26">
        <f>SUM(S159:S161)</f>
        <v>191.44</v>
      </c>
      <c r="J162" s="23">
        <f>Source!AU59</f>
        <v>36</v>
      </c>
      <c r="K162" s="26">
        <f>SUM(T159:T161)</f>
        <v>11057.62</v>
      </c>
    </row>
    <row r="163" spans="1:35" ht="14.25">
      <c r="A163" s="28"/>
      <c r="B163" s="28"/>
      <c r="C163" s="28" t="s">
        <v>490</v>
      </c>
      <c r="D163" s="29" t="s">
        <v>491</v>
      </c>
      <c r="E163" s="30">
        <f>Source!AQ59</f>
        <v>11.2</v>
      </c>
      <c r="F163" s="31"/>
      <c r="G163" s="32" t="str">
        <f>Source!DI59</f>
        <v/>
      </c>
      <c r="H163" s="30">
        <f>Source!AV59</f>
        <v>1</v>
      </c>
      <c r="I163" s="31">
        <f>Source!U59</f>
        <v>33.599999999999994</v>
      </c>
      <c r="J163" s="30"/>
      <c r="K163" s="31"/>
      <c r="AB163" s="27">
        <f>I163</f>
        <v>33.599999999999994</v>
      </c>
    </row>
    <row r="164" spans="1:35" ht="15">
      <c r="C164" s="33" t="s">
        <v>492</v>
      </c>
      <c r="H164" s="69">
        <f>I160+I161+I162+0-0-0</f>
        <v>1116.74</v>
      </c>
      <c r="I164" s="69"/>
      <c r="J164" s="69">
        <f>K160+K161+K162+0-0-0</f>
        <v>64502.780000000006</v>
      </c>
      <c r="K164" s="69"/>
    </row>
    <row r="165" spans="1:35" ht="15" hidden="1">
      <c r="C165" s="33" t="s">
        <v>493</v>
      </c>
      <c r="H165" s="68">
        <f>0+0</f>
        <v>0</v>
      </c>
      <c r="I165" s="68"/>
      <c r="J165" s="68">
        <f>0+0</f>
        <v>0</v>
      </c>
      <c r="K165" s="68"/>
    </row>
    <row r="166" spans="1:35" ht="15">
      <c r="H166" s="68"/>
      <c r="I166" s="68"/>
      <c r="J166" s="68"/>
      <c r="K166" s="68"/>
      <c r="O166" s="27">
        <f>I160+I161+I162+0</f>
        <v>1116.74</v>
      </c>
      <c r="P166" s="27">
        <f>K160+K161+K162+0</f>
        <v>64502.780000000006</v>
      </c>
      <c r="X166">
        <f>IF(Source!BI59&lt;=1,I160+I161+I162-0, 0)</f>
        <v>0</v>
      </c>
      <c r="Y166">
        <f>IF(Source!BI59=2,I160+I161+I162-0, 0)</f>
        <v>0</v>
      </c>
      <c r="Z166">
        <f>IF(Source!BI59=3,I160+I161+I162-0, 0)</f>
        <v>0</v>
      </c>
      <c r="AA166">
        <f>IF(Source!BI59=4,I160+I161+I162,0)</f>
        <v>1116.74</v>
      </c>
    </row>
    <row r="169" spans="1:35" ht="15">
      <c r="A169" s="72" t="str">
        <f>CONCATENATE("Итого по разделу: ",IF(Source!G61&lt;&gt;"Новый раздел", Source!G61, ""))</f>
        <v>Итого по разделу: Читальный зал (щитовое оборудование)</v>
      </c>
      <c r="B169" s="72"/>
      <c r="C169" s="72"/>
      <c r="D169" s="72"/>
      <c r="E169" s="72"/>
      <c r="F169" s="72"/>
      <c r="G169" s="72"/>
      <c r="H169" s="68">
        <f>SUM(O38:O168)</f>
        <v>19598.609999999997</v>
      </c>
      <c r="I169" s="71"/>
      <c r="J169" s="68">
        <f>SUM(P38:P168)</f>
        <v>180976.75</v>
      </c>
      <c r="K169" s="71"/>
    </row>
    <row r="170" spans="1:35" hidden="1">
      <c r="A170" t="s">
        <v>500</v>
      </c>
      <c r="H170">
        <f>SUM(AC38:AC169)</f>
        <v>0</v>
      </c>
      <c r="J170">
        <f>SUM(AD38:AD169)</f>
        <v>0</v>
      </c>
    </row>
    <row r="171" spans="1:35" hidden="1">
      <c r="A171" t="s">
        <v>501</v>
      </c>
      <c r="H171">
        <f>SUM(AE38:AE170)</f>
        <v>0</v>
      </c>
      <c r="J171">
        <f>SUM(AF38:AF170)</f>
        <v>0</v>
      </c>
    </row>
    <row r="173" spans="1:35" ht="16.5">
      <c r="A173" s="70" t="str">
        <f>CONCATENATE("Раздел: ",IF(Source!G91&lt;&gt;"Новый раздел", Source!G91, ""))</f>
        <v>Раздел: Установка воздушной завесы</v>
      </c>
      <c r="B173" s="70"/>
      <c r="C173" s="70"/>
      <c r="D173" s="70"/>
      <c r="E173" s="70"/>
      <c r="F173" s="70"/>
      <c r="G173" s="70"/>
      <c r="H173" s="70"/>
      <c r="I173" s="70"/>
      <c r="J173" s="70"/>
      <c r="K173" s="70"/>
    </row>
    <row r="174" spans="1:35" ht="28.5">
      <c r="A174" s="22">
        <v>14</v>
      </c>
      <c r="B174" s="22" t="str">
        <f>Source!F95</f>
        <v>4.8-243-11</v>
      </c>
      <c r="C174" s="22" t="s">
        <v>188</v>
      </c>
      <c r="D174" s="24" t="str">
        <f>Source!H95</f>
        <v>100 шт.</v>
      </c>
      <c r="E174" s="23">
        <f>Source!I95</f>
        <v>0.01</v>
      </c>
      <c r="F174" s="26"/>
      <c r="G174" s="25"/>
      <c r="H174" s="23"/>
      <c r="I174" s="26"/>
      <c r="J174" s="23"/>
      <c r="K174" s="26"/>
      <c r="Q174">
        <f>ROUND((Source!BZ95/100)*(ROUND((ROUND((Source!AF95*Source!AV95*Source!I95),2)),2)+(ROUND((ROUND((((Source!EU95*1.2))*Source!AV95*Source!I95),2)),2)+ROUND((ROUND(((Source!AE95-((Source!EU95*1.2)))*Source!AV95*Source!I95),2)),2))), 2)</f>
        <v>10.199999999999999</v>
      </c>
      <c r="R174">
        <f>Source!X95</f>
        <v>589.41</v>
      </c>
      <c r="S174">
        <f>ROUND((Source!CA95/100)*(ROUND((ROUND((Source!AF95*Source!AV95*Source!I95),2)),2)+(ROUND((ROUND((((Source!EU95*1.2))*Source!AV95*Source!I95),2)),2)+ROUND((ROUND(((Source!AE95-((Source!EU95*1.2)))*Source!AV95*Source!I95),2)),2))), 2)</f>
        <v>5.37</v>
      </c>
      <c r="T174">
        <f>Source!Y95</f>
        <v>309.89999999999998</v>
      </c>
      <c r="U174">
        <f>ROUND((175/100)*((ROUND((ROUND((((Source!EU95*1.2))*Source!AV95*Source!I95),2)),2)+ROUND((ROUND(((Source!AE95-((Source!EU95*1.2)))*Source!AV95*Source!I95),2)),2))), 2)</f>
        <v>0.04</v>
      </c>
      <c r="V174">
        <f>ROUND((0/100)*((ROUND((ROUND((((Source!EU95*1.2))*Source!AV95*Source!I95),2)*Source!BS95),2)+ROUND((ROUND(((Source!AE95-((Source!EU95*1.2)))*Source!AV95*Source!I95),2)*Source!BS95),2))), 2)</f>
        <v>0</v>
      </c>
      <c r="AI174">
        <v>0</v>
      </c>
    </row>
    <row r="175" spans="1:35">
      <c r="C175" s="36" t="str">
        <f>"Объем: "&amp;Source!I95&amp;"=1/"&amp;"100"</f>
        <v>Объем: 0,01=1/100</v>
      </c>
    </row>
    <row r="176" spans="1:35" ht="14.25">
      <c r="A176" s="22"/>
      <c r="B176" s="22"/>
      <c r="C176" s="22" t="s">
        <v>485</v>
      </c>
      <c r="D176" s="24"/>
      <c r="E176" s="23"/>
      <c r="F176" s="26">
        <f>Source!AO95</f>
        <v>875.14</v>
      </c>
      <c r="G176" s="25" t="str">
        <f>Source!DG95</f>
        <v>*1,2</v>
      </c>
      <c r="H176" s="23">
        <f>Source!AV95</f>
        <v>1</v>
      </c>
      <c r="I176" s="26">
        <f>ROUND((ROUND((Source!AF95*Source!AV95*Source!I95),2)),2)</f>
        <v>10.5</v>
      </c>
      <c r="J176" s="23">
        <f>IF(Source!BA95&lt;&gt; 0, Source!BA95, 1)</f>
        <v>57.76</v>
      </c>
      <c r="K176" s="26">
        <f>Source!S95</f>
        <v>606.48</v>
      </c>
      <c r="W176">
        <f>I176</f>
        <v>10.5</v>
      </c>
    </row>
    <row r="177" spans="1:35" ht="14.25">
      <c r="A177" s="22"/>
      <c r="B177" s="22"/>
      <c r="C177" s="22" t="s">
        <v>486</v>
      </c>
      <c r="D177" s="24"/>
      <c r="E177" s="23"/>
      <c r="F177" s="26">
        <f>Source!AM95</f>
        <v>9.14</v>
      </c>
      <c r="G177" s="25" t="str">
        <f>Source!DE95</f>
        <v>*1,2</v>
      </c>
      <c r="H177" s="23">
        <f>Source!AV95</f>
        <v>1</v>
      </c>
      <c r="I177" s="26">
        <f>(ROUND((ROUND((((Source!ET95*1.2))*Source!AV95*Source!I95),2)),2)+ROUND((ROUND(((Source!AE95-((Source!EU95*1.2)))*Source!AV95*Source!I95),2)),2))</f>
        <v>0.11</v>
      </c>
      <c r="J177" s="23">
        <f>IF(Source!BB95&lt;&gt; 0, Source!BB95, 1)</f>
        <v>18.02</v>
      </c>
      <c r="K177" s="26">
        <f>Source!Q95</f>
        <v>1.98</v>
      </c>
    </row>
    <row r="178" spans="1:35" ht="14.25">
      <c r="A178" s="22"/>
      <c r="B178" s="22"/>
      <c r="C178" s="22" t="s">
        <v>494</v>
      </c>
      <c r="D178" s="24"/>
      <c r="E178" s="23"/>
      <c r="F178" s="26">
        <f>Source!AN95</f>
        <v>1.39</v>
      </c>
      <c r="G178" s="25" t="str">
        <f>Source!DF95</f>
        <v>*1,2</v>
      </c>
      <c r="H178" s="23">
        <f>Source!AV95</f>
        <v>1</v>
      </c>
      <c r="I178" s="34">
        <f>(ROUND((ROUND((((Source!EU95*1.2))*Source!AV95*Source!I95),2)),2)+ROUND((ROUND(((Source!AE95-((Source!EU95*1.2)))*Source!AV95*Source!I95),2)),2))</f>
        <v>0.02</v>
      </c>
      <c r="J178" s="23">
        <f>IF(Source!BS95&lt;&gt; 0, Source!BS95, 1)</f>
        <v>57.76</v>
      </c>
      <c r="K178" s="34">
        <f>Source!R95</f>
        <v>1.1599999999999999</v>
      </c>
      <c r="W178">
        <f>I178</f>
        <v>0.02</v>
      </c>
    </row>
    <row r="179" spans="1:35" ht="14.25">
      <c r="A179" s="22"/>
      <c r="B179" s="22"/>
      <c r="C179" s="22" t="s">
        <v>495</v>
      </c>
      <c r="D179" s="24"/>
      <c r="E179" s="23"/>
      <c r="F179" s="26">
        <f>Source!AL95</f>
        <v>857</v>
      </c>
      <c r="G179" s="25" t="str">
        <f>Source!DD95</f>
        <v>*1</v>
      </c>
      <c r="H179" s="23">
        <f>Source!AW95</f>
        <v>1</v>
      </c>
      <c r="I179" s="26">
        <f>ROUND((ROUND((Source!AC95*Source!AW95*Source!I95),2)),2)</f>
        <v>8.57</v>
      </c>
      <c r="J179" s="23">
        <f>IF(Source!BC95&lt;&gt; 0, Source!BC95, 1)</f>
        <v>2.44</v>
      </c>
      <c r="K179" s="26">
        <f>Source!P95</f>
        <v>20.91</v>
      </c>
    </row>
    <row r="180" spans="1:35" ht="28.5">
      <c r="A180" s="22" t="s">
        <v>191</v>
      </c>
      <c r="B180" s="22" t="str">
        <f>Source!F96</f>
        <v>3464400000</v>
      </c>
      <c r="C180" s="22" t="s">
        <v>193</v>
      </c>
      <c r="D180" s="24" t="str">
        <f>Source!H96</f>
        <v>шт.</v>
      </c>
      <c r="E180" s="23">
        <f>Source!I96</f>
        <v>1.02</v>
      </c>
      <c r="F180" s="26">
        <f>Source!AK96</f>
        <v>0</v>
      </c>
      <c r="G180" s="35" t="s">
        <v>3</v>
      </c>
      <c r="H180" s="23">
        <f>Source!AW96</f>
        <v>1</v>
      </c>
      <c r="I180" s="26">
        <f>ROUND((ROUND((Source!AC96*Source!AW96*Source!I96),2)),2)+(ROUND((ROUND(((Source!ET96)*Source!AV96*Source!I96),2)),2)+ROUND((ROUND(((Source!AE96-(Source!EU96))*Source!AV96*Source!I96),2)),2))+ROUND((ROUND((Source!AF96*Source!AV96*Source!I96),2)),2)</f>
        <v>0</v>
      </c>
      <c r="J180" s="23">
        <f>IF(Source!BC96&lt;&gt; 0, Source!BC96, 1)</f>
        <v>1</v>
      </c>
      <c r="K180" s="26">
        <f>Source!O96</f>
        <v>0</v>
      </c>
      <c r="Q180">
        <f>ROUND((Source!BZ96/100)*(ROUND((ROUND((Source!AF96*Source!AV96*Source!I96),2)),2)+(ROUND((ROUND(((Source!EU96)*Source!AV96*Source!I96),2)),2)+ROUND((ROUND(((Source!AE96-(Source!EU96))*Source!AV96*Source!I96),2)),2))), 2)</f>
        <v>0</v>
      </c>
      <c r="R180">
        <f>Source!X96</f>
        <v>0</v>
      </c>
      <c r="S180">
        <f>ROUND((Source!CA96/100)*(ROUND((ROUND((Source!AF96*Source!AV96*Source!I96),2)),2)+(ROUND((ROUND(((Source!EU96)*Source!AV96*Source!I96),2)),2)+ROUND((ROUND(((Source!AE96-(Source!EU96))*Source!AV96*Source!I96),2)),2))), 2)</f>
        <v>0</v>
      </c>
      <c r="T180">
        <f>Source!Y96</f>
        <v>0</v>
      </c>
      <c r="U180">
        <f>ROUND((175/100)*((ROUND((ROUND(((Source!EU96)*Source!AV96*Source!I96),2)),2)+ROUND((ROUND(((Source!AE96-(Source!EU96))*Source!AV96*Source!I96),2)),2))), 2)</f>
        <v>0</v>
      </c>
      <c r="V180">
        <f>ROUND((0/100)*((ROUND((ROUND(((Source!EU96)*Source!AV96*Source!I96),2)*Source!BS96),2)+ROUND((ROUND(((Source!AE96-(Source!EU96))*Source!AV96*Source!I96),2)*Source!BS96),2))), 2)</f>
        <v>0</v>
      </c>
      <c r="X180">
        <f>IF(Source!BI96&lt;=1,I180, 0)</f>
        <v>0</v>
      </c>
      <c r="Y180">
        <f>IF(Source!BI96=2,I180, 0)</f>
        <v>0</v>
      </c>
      <c r="Z180">
        <f>IF(Source!BI96=3,I180, 0)</f>
        <v>0</v>
      </c>
      <c r="AA180">
        <f>IF(Source!BI96=4,I180, 0)</f>
        <v>0</v>
      </c>
      <c r="AI180">
        <v>3</v>
      </c>
    </row>
    <row r="181" spans="1:35" ht="14.25">
      <c r="A181" s="22"/>
      <c r="B181" s="22"/>
      <c r="C181" s="22" t="s">
        <v>487</v>
      </c>
      <c r="D181" s="24" t="s">
        <v>488</v>
      </c>
      <c r="E181" s="23">
        <f>Source!BZ95</f>
        <v>97</v>
      </c>
      <c r="F181" s="26"/>
      <c r="G181" s="25"/>
      <c r="H181" s="23"/>
      <c r="I181" s="26">
        <f>SUM(Q174:Q180)</f>
        <v>10.199999999999999</v>
      </c>
      <c r="J181" s="23">
        <f>Source!AT95</f>
        <v>97</v>
      </c>
      <c r="K181" s="26">
        <f>SUM(R174:R180)</f>
        <v>589.41</v>
      </c>
    </row>
    <row r="182" spans="1:35" ht="14.25">
      <c r="A182" s="22"/>
      <c r="B182" s="22"/>
      <c r="C182" s="22" t="s">
        <v>489</v>
      </c>
      <c r="D182" s="24" t="s">
        <v>488</v>
      </c>
      <c r="E182" s="23">
        <f>Source!CA95</f>
        <v>51</v>
      </c>
      <c r="F182" s="26"/>
      <c r="G182" s="25"/>
      <c r="H182" s="23"/>
      <c r="I182" s="26">
        <f>SUM(S174:S181)</f>
        <v>5.37</v>
      </c>
      <c r="J182" s="23">
        <f>Source!AU95</f>
        <v>51</v>
      </c>
      <c r="K182" s="26">
        <f>SUM(T174:T181)</f>
        <v>309.89999999999998</v>
      </c>
    </row>
    <row r="183" spans="1:35" ht="14.25">
      <c r="A183" s="28"/>
      <c r="B183" s="28"/>
      <c r="C183" s="28" t="s">
        <v>490</v>
      </c>
      <c r="D183" s="29" t="s">
        <v>491</v>
      </c>
      <c r="E183" s="30">
        <f>Source!AQ95</f>
        <v>67.37</v>
      </c>
      <c r="F183" s="31"/>
      <c r="G183" s="32" t="str">
        <f>Source!DI95</f>
        <v>*1,2</v>
      </c>
      <c r="H183" s="30">
        <f>Source!AV95</f>
        <v>1</v>
      </c>
      <c r="I183" s="31">
        <f>Source!U95</f>
        <v>0.80844000000000005</v>
      </c>
      <c r="J183" s="30"/>
      <c r="K183" s="31"/>
      <c r="AB183" s="27">
        <f>I183</f>
        <v>0.80844000000000005</v>
      </c>
    </row>
    <row r="184" spans="1:35" ht="15">
      <c r="C184" s="33" t="s">
        <v>492</v>
      </c>
      <c r="H184" s="69">
        <f>I176+I177+I179+I181+I182+SUM(I180:I180)-SUMIF(AI180:AI180, 5, I180:I180)-SUMIF(AI180:AI180, 6, I180:I180)</f>
        <v>34.75</v>
      </c>
      <c r="I184" s="69"/>
      <c r="J184" s="69">
        <f>K176+K177+K179+K181+K182+SUM(K180:K180)-SUMIF(AI180:AI180, 5, K180:K180)-SUMIF(AI180:AI180, 6, K180:K180)</f>
        <v>1528.6799999999998</v>
      </c>
      <c r="K184" s="69"/>
    </row>
    <row r="185" spans="1:35" ht="15" hidden="1">
      <c r="C185" s="33" t="s">
        <v>493</v>
      </c>
      <c r="H185" s="68">
        <f>SUMIF(AI180:AI180, 5, I180:I180)+SUMIF(AI180:AI180, 6, I180:I180)</f>
        <v>0</v>
      </c>
      <c r="I185" s="68"/>
      <c r="J185" s="68">
        <f>SUMIF(AI180:AI180, 5, K180:K180)+SUMIF(AI180:AI180, 6, K180:K180)</f>
        <v>0</v>
      </c>
      <c r="K185" s="68"/>
    </row>
    <row r="186" spans="1:35" ht="15">
      <c r="H186" s="68"/>
      <c r="I186" s="68"/>
      <c r="J186" s="68"/>
      <c r="K186" s="68"/>
      <c r="O186" s="27">
        <f>I176+I177+I179+I181+I182+SUM(I180:I180)</f>
        <v>34.75</v>
      </c>
      <c r="P186" s="27">
        <f>K176+K177+K179+K181+K182+SUM(K180:K180)</f>
        <v>1528.6799999999998</v>
      </c>
      <c r="X186">
        <f>IF(Source!BI95&lt;=1,I176+I177+I179+I181+I182-0, 0)</f>
        <v>0</v>
      </c>
      <c r="Y186">
        <f>IF(Source!BI95=2,I176+I177+I179+I181+I182-0, 0)</f>
        <v>34.75</v>
      </c>
      <c r="Z186">
        <f>IF(Source!BI95=3,I176+I177+I179+I181+I182-0, 0)</f>
        <v>0</v>
      </c>
      <c r="AA186">
        <f>IF(Source!BI95=4,I176+I177+I179+I181+I182,0)</f>
        <v>0</v>
      </c>
    </row>
    <row r="188" spans="1:35" ht="42.75">
      <c r="A188" s="28">
        <v>15</v>
      </c>
      <c r="B188" s="28" t="str">
        <f>Source!F97</f>
        <v>Цена поставщика</v>
      </c>
      <c r="C188" s="28" t="s">
        <v>502</v>
      </c>
      <c r="D188" s="29" t="str">
        <f>Source!H97</f>
        <v>шт.</v>
      </c>
      <c r="E188" s="30">
        <f>Source!I97</f>
        <v>1</v>
      </c>
      <c r="F188" s="31">
        <f>Source!AL97</f>
        <v>2522.46</v>
      </c>
      <c r="G188" s="32" t="str">
        <f>Source!DD97</f>
        <v/>
      </c>
      <c r="H188" s="30">
        <f>Source!AW97</f>
        <v>1</v>
      </c>
      <c r="I188" s="31">
        <f>ROUND((ROUND((Source!AC97*Source!AW97*Source!I97),2)),2)</f>
        <v>2522.46</v>
      </c>
      <c r="J188" s="30">
        <f>IF(Source!BC97&lt;&gt; 0, Source!BC97, 1)</f>
        <v>1</v>
      </c>
      <c r="K188" s="31">
        <f>Source!P97</f>
        <v>2522.46</v>
      </c>
      <c r="Q188">
        <f>ROUND((Source!BZ97/100)*(ROUND((ROUND((Source!AF97*Source!AV97*Source!I97),2)),2)+(ROUND((ROUND(((Source!EU97)*Source!AV97*Source!I97),2)),2)+ROUND((ROUND(((Source!AE97-(Source!EU97))*Source!AV97*Source!I97),2)),2))), 2)</f>
        <v>0</v>
      </c>
      <c r="R188">
        <f>Source!X97</f>
        <v>0</v>
      </c>
      <c r="S188">
        <f>ROUND((Source!CA97/100)*(ROUND((ROUND((Source!AF97*Source!AV97*Source!I97),2)),2)+(ROUND((ROUND(((Source!EU97)*Source!AV97*Source!I97),2)),2)+ROUND((ROUND(((Source!AE97-(Source!EU97))*Source!AV97*Source!I97),2)),2))), 2)</f>
        <v>0</v>
      </c>
      <c r="T188">
        <f>Source!Y97</f>
        <v>0</v>
      </c>
      <c r="U188">
        <f>ROUND((175/100)*((ROUND((ROUND(((Source!EU97)*Source!AV97*Source!I97),2)),2)+ROUND((ROUND(((Source!AE97-(Source!EU97))*Source!AV97*Source!I97),2)),2))), 2)</f>
        <v>0</v>
      </c>
      <c r="V188">
        <f>ROUND((0/100)*((ROUND((ROUND(((Source!EU97)*Source!AV97*Source!I97),2)*Source!BS97),2)+ROUND((ROUND(((Source!AE97-(Source!EU97))*Source!AV97*Source!I97),2)*Source!BS97),2))), 2)</f>
        <v>0</v>
      </c>
      <c r="AI188">
        <v>3</v>
      </c>
    </row>
    <row r="189" spans="1:35" ht="15">
      <c r="C189" s="33" t="s">
        <v>497</v>
      </c>
      <c r="H189" s="69">
        <f>I188+0</f>
        <v>2522.46</v>
      </c>
      <c r="I189" s="69"/>
      <c r="J189" s="69">
        <f>K188+0</f>
        <v>2522.46</v>
      </c>
      <c r="K189" s="69"/>
      <c r="O189" s="27">
        <f>I188+0</f>
        <v>2522.46</v>
      </c>
      <c r="P189" s="27">
        <f>K188+0</f>
        <v>2522.46</v>
      </c>
      <c r="X189">
        <f>IF(Source!BI97&lt;=1,I188-0, 0)</f>
        <v>2522.46</v>
      </c>
      <c r="Y189">
        <f>IF(Source!BI97=2,I188-0, 0)</f>
        <v>0</v>
      </c>
      <c r="Z189">
        <f>IF(Source!BI97=3,I188-0, 0)</f>
        <v>0</v>
      </c>
      <c r="AA189">
        <f>IF(Source!BI97=4,I188,0)</f>
        <v>0</v>
      </c>
    </row>
    <row r="191" spans="1:35" ht="85.5">
      <c r="A191" s="22">
        <v>16</v>
      </c>
      <c r="B191" s="22" t="str">
        <f>Source!F98</f>
        <v>4.8-218-1</v>
      </c>
      <c r="C191" s="22" t="s">
        <v>59</v>
      </c>
      <c r="D191" s="24" t="str">
        <f>Source!H98</f>
        <v>1  ШТ.</v>
      </c>
      <c r="E191" s="23">
        <f>Source!I98</f>
        <v>1</v>
      </c>
      <c r="F191" s="26"/>
      <c r="G191" s="25"/>
      <c r="H191" s="23"/>
      <c r="I191" s="26"/>
      <c r="J191" s="23"/>
      <c r="K191" s="26"/>
      <c r="Q191">
        <f>ROUND((Source!BZ98/100)*(ROUND((ROUND((Source!AF98*Source!AV98*Source!I98),2)),2)+(ROUND((ROUND((((Source!EU98*1.2))*Source!AV98*Source!I98),2)),2)+ROUND((ROUND(((Source!AE98-((Source!EU98*1.2)))*Source!AV98*Source!I98),2)),2))), 2)</f>
        <v>19.440000000000001</v>
      </c>
      <c r="R191">
        <f>Source!X98</f>
        <v>1122.78</v>
      </c>
      <c r="S191">
        <f>ROUND((Source!CA98/100)*(ROUND((ROUND((Source!AF98*Source!AV98*Source!I98),2)),2)+(ROUND((ROUND((((Source!EU98*1.2))*Source!AV98*Source!I98),2)),2)+ROUND((ROUND(((Source!AE98-((Source!EU98*1.2)))*Source!AV98*Source!I98),2)),2))), 2)</f>
        <v>10.220000000000001</v>
      </c>
      <c r="T191">
        <f>Source!Y98</f>
        <v>590.33000000000004</v>
      </c>
      <c r="U191">
        <f>ROUND((175/100)*((ROUND((ROUND((((Source!EU98*1.2))*Source!AV98*Source!I98),2)),2)+ROUND((ROUND(((Source!AE98-((Source!EU98*1.2)))*Source!AV98*Source!I98),2)),2))), 2)</f>
        <v>0</v>
      </c>
      <c r="V191">
        <f>ROUND((0/100)*((ROUND((ROUND((((Source!EU98*1.2))*Source!AV98*Source!I98),2)*Source!BS98),2)+ROUND((ROUND(((Source!AE98-((Source!EU98*1.2)))*Source!AV98*Source!I98),2)*Source!BS98),2))), 2)</f>
        <v>0</v>
      </c>
      <c r="AI191">
        <v>0</v>
      </c>
    </row>
    <row r="192" spans="1:35" ht="14.25">
      <c r="A192" s="22"/>
      <c r="B192" s="22"/>
      <c r="C192" s="22" t="s">
        <v>485</v>
      </c>
      <c r="D192" s="24"/>
      <c r="E192" s="23"/>
      <c r="F192" s="26">
        <f>Source!AO98</f>
        <v>16.7</v>
      </c>
      <c r="G192" s="25" t="str">
        <f>Source!DG98</f>
        <v>*1,2</v>
      </c>
      <c r="H192" s="23">
        <f>Source!AV98</f>
        <v>1</v>
      </c>
      <c r="I192" s="26">
        <f>ROUND((ROUND((Source!AF98*Source!AV98*Source!I98),2)),2)</f>
        <v>20.04</v>
      </c>
      <c r="J192" s="23">
        <f>IF(Source!BA98&lt;&gt; 0, Source!BA98, 1)</f>
        <v>57.76</v>
      </c>
      <c r="K192" s="26">
        <f>Source!S98</f>
        <v>1157.51</v>
      </c>
      <c r="W192">
        <f>I192</f>
        <v>20.04</v>
      </c>
    </row>
    <row r="193" spans="1:35" ht="14.25">
      <c r="A193" s="22"/>
      <c r="B193" s="22"/>
      <c r="C193" s="22" t="s">
        <v>486</v>
      </c>
      <c r="D193" s="24"/>
      <c r="E193" s="23"/>
      <c r="F193" s="26">
        <f>Source!AM98</f>
        <v>0.79</v>
      </c>
      <c r="G193" s="25" t="str">
        <f>Source!DE98</f>
        <v>*1,2</v>
      </c>
      <c r="H193" s="23">
        <f>Source!AV98</f>
        <v>1</v>
      </c>
      <c r="I193" s="26">
        <f>(ROUND((ROUND((((Source!ET98*1.2))*Source!AV98*Source!I98),2)),2)+ROUND((ROUND(((Source!AE98-((Source!EU98*1.2)))*Source!AV98*Source!I98),2)),2))</f>
        <v>0.95</v>
      </c>
      <c r="J193" s="23">
        <f>IF(Source!BB98&lt;&gt; 0, Source!BB98, 1)</f>
        <v>12.46</v>
      </c>
      <c r="K193" s="26">
        <f>Source!Q98</f>
        <v>11.84</v>
      </c>
    </row>
    <row r="194" spans="1:35" ht="14.25">
      <c r="A194" s="22"/>
      <c r="B194" s="22"/>
      <c r="C194" s="22" t="s">
        <v>495</v>
      </c>
      <c r="D194" s="24"/>
      <c r="E194" s="23"/>
      <c r="F194" s="26">
        <f>Source!AL98</f>
        <v>25.27</v>
      </c>
      <c r="G194" s="25" t="str">
        <f>Source!DD98</f>
        <v>*1</v>
      </c>
      <c r="H194" s="23">
        <f>Source!AW98</f>
        <v>1</v>
      </c>
      <c r="I194" s="26">
        <f>ROUND((ROUND((Source!AC98*Source!AW98*Source!I98),2)),2)</f>
        <v>25.27</v>
      </c>
      <c r="J194" s="23">
        <f>IF(Source!BC98&lt;&gt; 0, Source!BC98, 1)</f>
        <v>6.07</v>
      </c>
      <c r="K194" s="26">
        <f>Source!P98</f>
        <v>153.38999999999999</v>
      </c>
    </row>
    <row r="195" spans="1:35" ht="28.5">
      <c r="A195" s="22" t="s">
        <v>200</v>
      </c>
      <c r="B195" s="22" t="str">
        <f>Source!F99</f>
        <v>1.1-1-58</v>
      </c>
      <c r="C195" s="22" t="s">
        <v>65</v>
      </c>
      <c r="D195" s="24" t="str">
        <f>Source!H99</f>
        <v>т</v>
      </c>
      <c r="E195" s="23">
        <f>Source!I99</f>
        <v>4.8999999999999998E-5</v>
      </c>
      <c r="F195" s="26">
        <f>Source!AK99</f>
        <v>24609.759999999998</v>
      </c>
      <c r="G195" s="35" t="s">
        <v>3</v>
      </c>
      <c r="H195" s="23">
        <f>Source!AW99</f>
        <v>1</v>
      </c>
      <c r="I195" s="26">
        <f>ROUND((ROUND((Source!AC99*Source!AW99*Source!I99),2)),2)+(ROUND((ROUND(((Source!ET99)*Source!AV99*Source!I99),2)),2)+ROUND((ROUND(((Source!AE99-(Source!EU99))*Source!AV99*Source!I99),2)),2))+ROUND((ROUND((Source!AF99*Source!AV99*Source!I99),2)),2)</f>
        <v>1.21</v>
      </c>
      <c r="J195" s="23">
        <f>IF(Source!BC99&lt;&gt; 0, Source!BC99, 1)</f>
        <v>3.49</v>
      </c>
      <c r="K195" s="26">
        <f>Source!O99</f>
        <v>4.22</v>
      </c>
      <c r="Q195">
        <f>ROUND((Source!BZ99/100)*(ROUND((ROUND((Source!AF99*Source!AV99*Source!I99),2)),2)+(ROUND((ROUND(((Source!EU99)*Source!AV99*Source!I99),2)),2)+ROUND((ROUND(((Source!AE99-(Source!EU99))*Source!AV99*Source!I99),2)),2))), 2)</f>
        <v>0</v>
      </c>
      <c r="R195">
        <f>Source!X99</f>
        <v>0</v>
      </c>
      <c r="S195">
        <f>ROUND((Source!CA99/100)*(ROUND((ROUND((Source!AF99*Source!AV99*Source!I99),2)),2)+(ROUND((ROUND(((Source!EU99)*Source!AV99*Source!I99),2)),2)+ROUND((ROUND(((Source!AE99-(Source!EU99))*Source!AV99*Source!I99),2)),2))), 2)</f>
        <v>0</v>
      </c>
      <c r="T195">
        <f>Source!Y99</f>
        <v>0</v>
      </c>
      <c r="U195">
        <f>ROUND((175/100)*((ROUND((ROUND(((Source!EU99)*Source!AV99*Source!I99),2)),2)+ROUND((ROUND(((Source!AE99-(Source!EU99))*Source!AV99*Source!I99),2)),2))), 2)</f>
        <v>0</v>
      </c>
      <c r="V195">
        <f>ROUND((0/100)*((ROUND((ROUND(((Source!EU99)*Source!AV99*Source!I99),2)*Source!BS99),2)+ROUND((ROUND(((Source!AE99-(Source!EU99))*Source!AV99*Source!I99),2)*Source!BS99),2))), 2)</f>
        <v>0</v>
      </c>
      <c r="X195">
        <f>IF(Source!BI99&lt;=1,I195, 0)</f>
        <v>0</v>
      </c>
      <c r="Y195">
        <f>IF(Source!BI99=2,I195, 0)</f>
        <v>1.21</v>
      </c>
      <c r="Z195">
        <f>IF(Source!BI99=3,I195, 0)</f>
        <v>0</v>
      </c>
      <c r="AA195">
        <f>IF(Source!BI99=4,I195, 0)</f>
        <v>0</v>
      </c>
      <c r="AI195">
        <v>3</v>
      </c>
    </row>
    <row r="196" spans="1:35" ht="28.5">
      <c r="A196" s="22" t="s">
        <v>201</v>
      </c>
      <c r="B196" s="22" t="str">
        <f>Source!F100</f>
        <v>3422000000</v>
      </c>
      <c r="C196" s="22" t="s">
        <v>31</v>
      </c>
      <c r="D196" s="24" t="str">
        <f>Source!H100</f>
        <v>шт.</v>
      </c>
      <c r="E196" s="23">
        <f>Source!I100</f>
        <v>1</v>
      </c>
      <c r="F196" s="26">
        <f>Source!AK100</f>
        <v>0</v>
      </c>
      <c r="G196" s="35" t="s">
        <v>3</v>
      </c>
      <c r="H196" s="23">
        <f>Source!AW100</f>
        <v>1</v>
      </c>
      <c r="I196" s="26">
        <f>ROUND((ROUND((Source!AC100*Source!AW100*Source!I100),2)),2)+(ROUND((ROUND(((Source!ET100)*Source!AV100*Source!I100),2)),2)+ROUND((ROUND(((Source!AE100-(Source!EU100))*Source!AV100*Source!I100),2)),2))+ROUND((ROUND((Source!AF100*Source!AV100*Source!I100),2)),2)</f>
        <v>0</v>
      </c>
      <c r="J196" s="23">
        <f>IF(Source!BC100&lt;&gt; 0, Source!BC100, 1)</f>
        <v>1</v>
      </c>
      <c r="K196" s="26">
        <f>Source!O100</f>
        <v>0</v>
      </c>
      <c r="Q196">
        <f>ROUND((Source!BZ100/100)*(ROUND((ROUND((Source!AF100*Source!AV100*Source!I100),2)),2)+(ROUND((ROUND(((Source!EU100)*Source!AV100*Source!I100),2)),2)+ROUND((ROUND(((Source!AE100-(Source!EU100))*Source!AV100*Source!I100),2)),2))), 2)</f>
        <v>0</v>
      </c>
      <c r="R196">
        <f>Source!X100</f>
        <v>0</v>
      </c>
      <c r="S196">
        <f>ROUND((Source!CA100/100)*(ROUND((ROUND((Source!AF100*Source!AV100*Source!I100),2)),2)+(ROUND((ROUND(((Source!EU100)*Source!AV100*Source!I100),2)),2)+ROUND((ROUND(((Source!AE100-(Source!EU100))*Source!AV100*Source!I100),2)),2))), 2)</f>
        <v>0</v>
      </c>
      <c r="T196">
        <f>Source!Y100</f>
        <v>0</v>
      </c>
      <c r="U196">
        <f>ROUND((175/100)*((ROUND((ROUND(((Source!EU100)*Source!AV100*Source!I100),2)),2)+ROUND((ROUND(((Source!AE100-(Source!EU100))*Source!AV100*Source!I100),2)),2))), 2)</f>
        <v>0</v>
      </c>
      <c r="V196">
        <f>ROUND((0/100)*((ROUND((ROUND(((Source!EU100)*Source!AV100*Source!I100),2)*Source!BS100),2)+ROUND((ROUND(((Source!AE100-(Source!EU100))*Source!AV100*Source!I100),2)*Source!BS100),2))), 2)</f>
        <v>0</v>
      </c>
      <c r="X196">
        <f>IF(Source!BI100&lt;=1,I196, 0)</f>
        <v>0</v>
      </c>
      <c r="Y196">
        <f>IF(Source!BI100=2,I196, 0)</f>
        <v>0</v>
      </c>
      <c r="Z196">
        <f>IF(Source!BI100=3,I196, 0)</f>
        <v>0</v>
      </c>
      <c r="AA196">
        <f>IF(Source!BI100=4,I196, 0)</f>
        <v>0</v>
      </c>
      <c r="AI196">
        <v>3</v>
      </c>
    </row>
    <row r="197" spans="1:35" ht="28.5">
      <c r="A197" s="22" t="s">
        <v>202</v>
      </c>
      <c r="B197" s="22" t="str">
        <f>Source!F101</f>
        <v>3449800000</v>
      </c>
      <c r="C197" s="22" t="s">
        <v>35</v>
      </c>
      <c r="D197" s="24" t="str">
        <f>Source!H101</f>
        <v>шт.</v>
      </c>
      <c r="E197" s="23">
        <f>Source!I101</f>
        <v>6.1</v>
      </c>
      <c r="F197" s="26">
        <f>Source!AK101</f>
        <v>0</v>
      </c>
      <c r="G197" s="35" t="s">
        <v>3</v>
      </c>
      <c r="H197" s="23">
        <f>Source!AW101</f>
        <v>1</v>
      </c>
      <c r="I197" s="26">
        <f>ROUND((ROUND((Source!AC101*Source!AW101*Source!I101),2)),2)+(ROUND((ROUND(((Source!ET101)*Source!AV101*Source!I101),2)),2)+ROUND((ROUND(((Source!AE101-(Source!EU101))*Source!AV101*Source!I101),2)),2))+ROUND((ROUND((Source!AF101*Source!AV101*Source!I101),2)),2)</f>
        <v>0</v>
      </c>
      <c r="J197" s="23">
        <f>IF(Source!BC101&lt;&gt; 0, Source!BC101, 1)</f>
        <v>1</v>
      </c>
      <c r="K197" s="26">
        <f>Source!O101</f>
        <v>0</v>
      </c>
      <c r="Q197">
        <f>ROUND((Source!BZ101/100)*(ROUND((ROUND((Source!AF101*Source!AV101*Source!I101),2)),2)+(ROUND((ROUND(((Source!EU101)*Source!AV101*Source!I101),2)),2)+ROUND((ROUND(((Source!AE101-(Source!EU101))*Source!AV101*Source!I101),2)),2))), 2)</f>
        <v>0</v>
      </c>
      <c r="R197">
        <f>Source!X101</f>
        <v>0</v>
      </c>
      <c r="S197">
        <f>ROUND((Source!CA101/100)*(ROUND((ROUND((Source!AF101*Source!AV101*Source!I101),2)),2)+(ROUND((ROUND(((Source!EU101)*Source!AV101*Source!I101),2)),2)+ROUND((ROUND(((Source!AE101-(Source!EU101))*Source!AV101*Source!I101),2)),2))), 2)</f>
        <v>0</v>
      </c>
      <c r="T197">
        <f>Source!Y101</f>
        <v>0</v>
      </c>
      <c r="U197">
        <f>ROUND((175/100)*((ROUND((ROUND(((Source!EU101)*Source!AV101*Source!I101),2)),2)+ROUND((ROUND(((Source!AE101-(Source!EU101))*Source!AV101*Source!I101),2)),2))), 2)</f>
        <v>0</v>
      </c>
      <c r="V197">
        <f>ROUND((0/100)*((ROUND((ROUND(((Source!EU101)*Source!AV101*Source!I101),2)*Source!BS101),2)+ROUND((ROUND(((Source!AE101-(Source!EU101))*Source!AV101*Source!I101),2)*Source!BS101),2))), 2)</f>
        <v>0</v>
      </c>
      <c r="X197">
        <f>IF(Source!BI101&lt;=1,I197, 0)</f>
        <v>0</v>
      </c>
      <c r="Y197">
        <f>IF(Source!BI101=2,I197, 0)</f>
        <v>0</v>
      </c>
      <c r="Z197">
        <f>IF(Source!BI101=3,I197, 0)</f>
        <v>0</v>
      </c>
      <c r="AA197">
        <f>IF(Source!BI101=4,I197, 0)</f>
        <v>0</v>
      </c>
      <c r="AI197">
        <v>3</v>
      </c>
    </row>
    <row r="198" spans="1:35" ht="28.5">
      <c r="A198" s="22" t="s">
        <v>203</v>
      </c>
      <c r="B198" s="22" t="str">
        <f>Source!F102</f>
        <v>5290900000</v>
      </c>
      <c r="C198" s="22" t="s">
        <v>38</v>
      </c>
      <c r="D198" s="24" t="str">
        <f>Source!H102</f>
        <v>т</v>
      </c>
      <c r="E198" s="23">
        <f>Source!I102</f>
        <v>1E-3</v>
      </c>
      <c r="F198" s="26">
        <f>Source!AK102</f>
        <v>0</v>
      </c>
      <c r="G198" s="35" t="s">
        <v>3</v>
      </c>
      <c r="H198" s="23">
        <f>Source!AW102</f>
        <v>1</v>
      </c>
      <c r="I198" s="26">
        <f>ROUND((ROUND((Source!AC102*Source!AW102*Source!I102),2)),2)+(ROUND((ROUND(((Source!ET102)*Source!AV102*Source!I102),2)),2)+ROUND((ROUND(((Source!AE102-(Source!EU102))*Source!AV102*Source!I102),2)),2))+ROUND((ROUND((Source!AF102*Source!AV102*Source!I102),2)),2)</f>
        <v>0</v>
      </c>
      <c r="J198" s="23">
        <f>IF(Source!BC102&lt;&gt; 0, Source!BC102, 1)</f>
        <v>1</v>
      </c>
      <c r="K198" s="26">
        <f>Source!O102</f>
        <v>0</v>
      </c>
      <c r="Q198">
        <f>ROUND((Source!BZ102/100)*(ROUND((ROUND((Source!AF102*Source!AV102*Source!I102),2)),2)+(ROUND((ROUND(((Source!EU102)*Source!AV102*Source!I102),2)),2)+ROUND((ROUND(((Source!AE102-(Source!EU102))*Source!AV102*Source!I102),2)),2))), 2)</f>
        <v>0</v>
      </c>
      <c r="R198">
        <f>Source!X102</f>
        <v>0</v>
      </c>
      <c r="S198">
        <f>ROUND((Source!CA102/100)*(ROUND((ROUND((Source!AF102*Source!AV102*Source!I102),2)),2)+(ROUND((ROUND(((Source!EU102)*Source!AV102*Source!I102),2)),2)+ROUND((ROUND(((Source!AE102-(Source!EU102))*Source!AV102*Source!I102),2)),2))), 2)</f>
        <v>0</v>
      </c>
      <c r="T198">
        <f>Source!Y102</f>
        <v>0</v>
      </c>
      <c r="U198">
        <f>ROUND((175/100)*((ROUND((ROUND(((Source!EU102)*Source!AV102*Source!I102),2)),2)+ROUND((ROUND(((Source!AE102-(Source!EU102))*Source!AV102*Source!I102),2)),2))), 2)</f>
        <v>0</v>
      </c>
      <c r="V198">
        <f>ROUND((0/100)*((ROUND((ROUND(((Source!EU102)*Source!AV102*Source!I102),2)*Source!BS102),2)+ROUND((ROUND(((Source!AE102-(Source!EU102))*Source!AV102*Source!I102),2)*Source!BS102),2))), 2)</f>
        <v>0</v>
      </c>
      <c r="X198">
        <f>IF(Source!BI102&lt;=1,I198, 0)</f>
        <v>0</v>
      </c>
      <c r="Y198">
        <f>IF(Source!BI102=2,I198, 0)</f>
        <v>0</v>
      </c>
      <c r="Z198">
        <f>IF(Source!BI102=3,I198, 0)</f>
        <v>0</v>
      </c>
      <c r="AA198">
        <f>IF(Source!BI102=4,I198, 0)</f>
        <v>0</v>
      </c>
      <c r="AI198">
        <v>3</v>
      </c>
    </row>
    <row r="199" spans="1:35" ht="14.25">
      <c r="A199" s="22"/>
      <c r="B199" s="22"/>
      <c r="C199" s="22" t="s">
        <v>487</v>
      </c>
      <c r="D199" s="24" t="s">
        <v>488</v>
      </c>
      <c r="E199" s="23">
        <f>Source!BZ98</f>
        <v>97</v>
      </c>
      <c r="F199" s="26"/>
      <c r="G199" s="25"/>
      <c r="H199" s="23"/>
      <c r="I199" s="26">
        <f>SUM(Q191:Q198)</f>
        <v>19.440000000000001</v>
      </c>
      <c r="J199" s="23">
        <f>Source!AT98</f>
        <v>97</v>
      </c>
      <c r="K199" s="26">
        <f>SUM(R191:R198)</f>
        <v>1122.78</v>
      </c>
    </row>
    <row r="200" spans="1:35" ht="14.25">
      <c r="A200" s="22"/>
      <c r="B200" s="22"/>
      <c r="C200" s="22" t="s">
        <v>489</v>
      </c>
      <c r="D200" s="24" t="s">
        <v>488</v>
      </c>
      <c r="E200" s="23">
        <f>Source!CA98</f>
        <v>51</v>
      </c>
      <c r="F200" s="26"/>
      <c r="G200" s="25"/>
      <c r="H200" s="23"/>
      <c r="I200" s="26">
        <f>SUM(S191:S199)</f>
        <v>10.220000000000001</v>
      </c>
      <c r="J200" s="23">
        <f>Source!AU98</f>
        <v>51</v>
      </c>
      <c r="K200" s="26">
        <f>SUM(T191:T199)</f>
        <v>590.33000000000004</v>
      </c>
    </row>
    <row r="201" spans="1:35" ht="14.25">
      <c r="A201" s="28"/>
      <c r="B201" s="28"/>
      <c r="C201" s="28" t="s">
        <v>490</v>
      </c>
      <c r="D201" s="29" t="s">
        <v>491</v>
      </c>
      <c r="E201" s="30">
        <f>Source!AQ98</f>
        <v>1.34</v>
      </c>
      <c r="F201" s="31"/>
      <c r="G201" s="32" t="str">
        <f>Source!DI98</f>
        <v>*1,2</v>
      </c>
      <c r="H201" s="30">
        <f>Source!AV98</f>
        <v>1</v>
      </c>
      <c r="I201" s="31">
        <f>Source!U98</f>
        <v>1.6080000000000001</v>
      </c>
      <c r="J201" s="30"/>
      <c r="K201" s="31"/>
      <c r="AB201" s="27">
        <f>I201</f>
        <v>1.6080000000000001</v>
      </c>
    </row>
    <row r="202" spans="1:35" ht="15">
      <c r="C202" s="33" t="s">
        <v>492</v>
      </c>
      <c r="H202" s="69">
        <f>I192+I193+I194+I199+I200+SUM(I195:I198)-SUMIF(AI195:AI198, 5, I195:I198)-SUMIF(AI195:AI198, 6, I195:I198)</f>
        <v>77.13</v>
      </c>
      <c r="I202" s="69"/>
      <c r="J202" s="69">
        <f>K192+K193+K194+K199+K200+SUM(K195:K198)-SUMIF(AI195:AI198, 5, K195:K198)-SUMIF(AI195:AI198, 6, K195:K198)</f>
        <v>3040.0699999999993</v>
      </c>
      <c r="K202" s="69"/>
    </row>
    <row r="203" spans="1:35" ht="15" hidden="1">
      <c r="C203" s="33" t="s">
        <v>493</v>
      </c>
      <c r="H203" s="68">
        <f>SUMIF(AI195:AI198, 5, I195:I198)+SUMIF(AI195:AI198, 6, I195:I198)</f>
        <v>0</v>
      </c>
      <c r="I203" s="68"/>
      <c r="J203" s="68">
        <f>SUMIF(AI195:AI198, 5, K195:K198)+SUMIF(AI195:AI198, 6, K195:K198)</f>
        <v>0</v>
      </c>
      <c r="K203" s="68"/>
    </row>
    <row r="204" spans="1:35" ht="15">
      <c r="H204" s="68"/>
      <c r="I204" s="68"/>
      <c r="J204" s="68"/>
      <c r="K204" s="68"/>
      <c r="O204" s="27">
        <f>I192+I193+I194+I199+I200+SUM(I195:I198)</f>
        <v>77.13</v>
      </c>
      <c r="P204" s="27">
        <f>K192+K193+K194+K199+K200+SUM(K195:K198)</f>
        <v>3040.0699999999993</v>
      </c>
      <c r="X204">
        <f>IF(Source!BI98&lt;=1,I192+I193+I194+I199+I200-0, 0)</f>
        <v>0</v>
      </c>
      <c r="Y204">
        <f>IF(Source!BI98=2,I192+I193+I194+I199+I200-0, 0)</f>
        <v>75.92</v>
      </c>
      <c r="Z204">
        <f>IF(Source!BI98=3,I192+I193+I194+I199+I200-0, 0)</f>
        <v>0</v>
      </c>
      <c r="AA204">
        <f>IF(Source!BI98=4,I192+I193+I194+I199+I200,0)</f>
        <v>0</v>
      </c>
    </row>
    <row r="206" spans="1:35" ht="42.75">
      <c r="A206" s="28">
        <v>17</v>
      </c>
      <c r="B206" s="28" t="str">
        <f>Source!F103</f>
        <v>Цена поставщика</v>
      </c>
      <c r="C206" s="28" t="s">
        <v>503</v>
      </c>
      <c r="D206" s="29" t="str">
        <f>Source!H103</f>
        <v>шт.</v>
      </c>
      <c r="E206" s="30">
        <f>Source!I103</f>
        <v>1</v>
      </c>
      <c r="F206" s="31">
        <f>Source!AL103</f>
        <v>999.86</v>
      </c>
      <c r="G206" s="32" t="str">
        <f>Source!DD103</f>
        <v/>
      </c>
      <c r="H206" s="30">
        <f>Source!AW103</f>
        <v>1</v>
      </c>
      <c r="I206" s="31">
        <f>ROUND((ROUND((Source!AC103*Source!I103),2)),2)</f>
        <v>999.86</v>
      </c>
      <c r="J206" s="30">
        <f>IF(Source!BC103&lt;&gt; 0, Source!BC103, 1)</f>
        <v>1</v>
      </c>
      <c r="K206" s="31">
        <f>Source!P103</f>
        <v>999.86</v>
      </c>
      <c r="Q206">
        <f>ROUND((Source!BZ103/100)*(ROUND((ROUND((Source!AF103*Source!AV103*Source!I103),2)),2)+(ROUND((ROUND(((Source!EU103)*Source!AV103*Source!I103),2)),2)+ROUND((ROUND(((Source!AE103-(Source!EU103))*Source!AV103*Source!I103),2)),2))), 2)</f>
        <v>0</v>
      </c>
      <c r="R206">
        <f>Source!X103</f>
        <v>0</v>
      </c>
      <c r="S206">
        <f>ROUND((Source!CA103/100)*(ROUND((ROUND((Source!AF103*Source!AV103*Source!I103),2)),2)+(ROUND((ROUND(((Source!EU103)*Source!AV103*Source!I103),2)),2)+ROUND((ROUND(((Source!AE103-(Source!EU103))*Source!AV103*Source!I103),2)),2))), 2)</f>
        <v>0</v>
      </c>
      <c r="T206">
        <f>Source!Y103</f>
        <v>0</v>
      </c>
      <c r="U206">
        <f>ROUND((175/100)*((ROUND((ROUND(((Source!EU103)*Source!AV103*Source!I103),2)),2)+ROUND((ROUND(((Source!AE103-(Source!EU103))*Source!AV103*Source!I103),2)),2))), 2)</f>
        <v>0</v>
      </c>
      <c r="V206">
        <f>ROUND((0/100)*((ROUND((ROUND(((Source!EU103)*Source!AV103*Source!I103),2)*Source!BS103),2)+ROUND((ROUND(((Source!AE103-(Source!EU103))*Source!AV103*Source!I103),2)*Source!BS103),2))), 2)</f>
        <v>0</v>
      </c>
      <c r="AI206">
        <v>5</v>
      </c>
    </row>
    <row r="207" spans="1:35" ht="15">
      <c r="C207" s="33" t="s">
        <v>497</v>
      </c>
      <c r="H207" s="69">
        <f>I206+0</f>
        <v>999.86</v>
      </c>
      <c r="I207" s="69"/>
      <c r="J207" s="69">
        <f>K206+0</f>
        <v>999.86</v>
      </c>
      <c r="K207" s="69"/>
      <c r="O207" s="27">
        <f>I206+0</f>
        <v>999.86</v>
      </c>
      <c r="P207" s="27">
        <f>K206+0</f>
        <v>999.86</v>
      </c>
      <c r="X207">
        <f>IF(Source!BI103&lt;=1,I206-0, 0)</f>
        <v>0</v>
      </c>
      <c r="Y207">
        <f>IF(Source!BI103=2,I206-0, 0)</f>
        <v>0</v>
      </c>
      <c r="Z207">
        <f>IF(Source!BI103=3,I206-0, 0)</f>
        <v>999.86</v>
      </c>
      <c r="AA207">
        <f>IF(Source!BI103=4,I206,0)</f>
        <v>0</v>
      </c>
    </row>
    <row r="209" spans="1:35" ht="28.5">
      <c r="A209" s="22">
        <v>18</v>
      </c>
      <c r="B209" s="22" t="str">
        <f>Source!F104</f>
        <v>4.8-280-1</v>
      </c>
      <c r="C209" s="22" t="s">
        <v>209</v>
      </c>
      <c r="D209" s="24" t="str">
        <f>Source!H104</f>
        <v>100 м</v>
      </c>
      <c r="E209" s="23">
        <f>Source!I104</f>
        <v>0.3</v>
      </c>
      <c r="F209" s="26"/>
      <c r="G209" s="25"/>
      <c r="H209" s="23"/>
      <c r="I209" s="26"/>
      <c r="J209" s="23"/>
      <c r="K209" s="26"/>
      <c r="Q209">
        <f>ROUND((Source!BZ104/100)*(ROUND((ROUND((Source!AF104*Source!AV104*Source!I104),2)),2)+(ROUND((ROUND((((Source!EU104*1.2))*Source!AV104*Source!I104),2)),2)+ROUND((ROUND(((Source!AE104-((Source!EU104*1.2)))*Source!AV104*Source!I104),2)),2))), 2)</f>
        <v>142.88</v>
      </c>
      <c r="R209">
        <f>Source!X104</f>
        <v>8252.7999999999993</v>
      </c>
      <c r="S209">
        <f>ROUND((Source!CA104/100)*(ROUND((ROUND((Source!AF104*Source!AV104*Source!I104),2)),2)+(ROUND((ROUND((((Source!EU104*1.2))*Source!AV104*Source!I104),2)),2)+ROUND((ROUND(((Source!AE104-((Source!EU104*1.2)))*Source!AV104*Source!I104),2)),2))), 2)</f>
        <v>75.12</v>
      </c>
      <c r="T209">
        <f>Source!Y104</f>
        <v>4339.1000000000004</v>
      </c>
      <c r="U209">
        <f>ROUND((175/100)*((ROUND((ROUND((((Source!EU104*1.2))*Source!AV104*Source!I104),2)),2)+ROUND((ROUND(((Source!AE104-((Source!EU104*1.2)))*Source!AV104*Source!I104),2)),2))), 2)</f>
        <v>2.31</v>
      </c>
      <c r="V209">
        <f>ROUND((0/100)*((ROUND((ROUND((((Source!EU104*1.2))*Source!AV104*Source!I104),2)*Source!BS104),2)+ROUND((ROUND(((Source!AE104-((Source!EU104*1.2)))*Source!AV104*Source!I104),2)*Source!BS104),2))), 2)</f>
        <v>0</v>
      </c>
      <c r="AI209">
        <v>0</v>
      </c>
    </row>
    <row r="210" spans="1:35">
      <c r="C210" s="36" t="str">
        <f>"Объем: "&amp;Source!I104&amp;"=30/"&amp;"100"</f>
        <v>Объем: 0,3=30/100</v>
      </c>
    </row>
    <row r="211" spans="1:35" ht="14.25">
      <c r="A211" s="22"/>
      <c r="B211" s="22"/>
      <c r="C211" s="22" t="s">
        <v>485</v>
      </c>
      <c r="D211" s="24"/>
      <c r="E211" s="23"/>
      <c r="F211" s="26">
        <f>Source!AO104</f>
        <v>405.5</v>
      </c>
      <c r="G211" s="25" t="str">
        <f>Source!DG104</f>
        <v>*1,2</v>
      </c>
      <c r="H211" s="23">
        <f>Source!AV104</f>
        <v>1</v>
      </c>
      <c r="I211" s="26">
        <f>ROUND((ROUND((Source!AF104*Source!AV104*Source!I104),2)),2)</f>
        <v>145.97999999999999</v>
      </c>
      <c r="J211" s="23">
        <f>IF(Source!BA104&lt;&gt; 0, Source!BA104, 1)</f>
        <v>57.76</v>
      </c>
      <c r="K211" s="26">
        <f>Source!S104</f>
        <v>8431.7999999999993</v>
      </c>
      <c r="W211">
        <f>I211</f>
        <v>145.97999999999999</v>
      </c>
    </row>
    <row r="212" spans="1:35" ht="14.25">
      <c r="A212" s="22"/>
      <c r="B212" s="22"/>
      <c r="C212" s="22" t="s">
        <v>486</v>
      </c>
      <c r="D212" s="24"/>
      <c r="E212" s="23"/>
      <c r="F212" s="26">
        <f>Source!AM104</f>
        <v>24.51</v>
      </c>
      <c r="G212" s="25" t="str">
        <f>Source!DE104</f>
        <v>*1,2</v>
      </c>
      <c r="H212" s="23">
        <f>Source!AV104</f>
        <v>1</v>
      </c>
      <c r="I212" s="26">
        <f>(ROUND((ROUND((((Source!ET104*1.2))*Source!AV104*Source!I104),2)),2)+ROUND((ROUND(((Source!AE104-((Source!EU104*1.2)))*Source!AV104*Source!I104),2)),2))</f>
        <v>8.82</v>
      </c>
      <c r="J212" s="23">
        <f>IF(Source!BB104&lt;&gt; 0, Source!BB104, 1)</f>
        <v>15.08</v>
      </c>
      <c r="K212" s="26">
        <f>Source!Q104</f>
        <v>133.01</v>
      </c>
    </row>
    <row r="213" spans="1:35" ht="14.25">
      <c r="A213" s="22"/>
      <c r="B213" s="22"/>
      <c r="C213" s="22" t="s">
        <v>494</v>
      </c>
      <c r="D213" s="24"/>
      <c r="E213" s="23"/>
      <c r="F213" s="26">
        <f>Source!AN104</f>
        <v>3.66</v>
      </c>
      <c r="G213" s="25" t="str">
        <f>Source!DF104</f>
        <v>*1,2</v>
      </c>
      <c r="H213" s="23">
        <f>Source!AV104</f>
        <v>1</v>
      </c>
      <c r="I213" s="34">
        <f>(ROUND((ROUND((((Source!EU104*1.2))*Source!AV104*Source!I104),2)),2)+ROUND((ROUND(((Source!AE104-((Source!EU104*1.2)))*Source!AV104*Source!I104),2)),2))</f>
        <v>1.32</v>
      </c>
      <c r="J213" s="23">
        <f>IF(Source!BS104&lt;&gt; 0, Source!BS104, 1)</f>
        <v>57.76</v>
      </c>
      <c r="K213" s="34">
        <f>Source!R104</f>
        <v>76.239999999999995</v>
      </c>
      <c r="W213">
        <f>I213</f>
        <v>1.32</v>
      </c>
    </row>
    <row r="214" spans="1:35" ht="14.25">
      <c r="A214" s="22"/>
      <c r="B214" s="22"/>
      <c r="C214" s="22" t="s">
        <v>495</v>
      </c>
      <c r="D214" s="24"/>
      <c r="E214" s="23"/>
      <c r="F214" s="26">
        <f>Source!AL104</f>
        <v>1018.27</v>
      </c>
      <c r="G214" s="25" t="str">
        <f>Source!DD104</f>
        <v>*1</v>
      </c>
      <c r="H214" s="23">
        <f>Source!AW104</f>
        <v>1</v>
      </c>
      <c r="I214" s="26">
        <f>ROUND((ROUND((Source!AC104*Source!AW104*Source!I104),2)),2)</f>
        <v>305.48</v>
      </c>
      <c r="J214" s="23">
        <f>IF(Source!BC104&lt;&gt; 0, Source!BC104, 1)</f>
        <v>2.46</v>
      </c>
      <c r="K214" s="26">
        <f>Source!P104</f>
        <v>751.48</v>
      </c>
    </row>
    <row r="215" spans="1:35" ht="14.25">
      <c r="A215" s="22"/>
      <c r="B215" s="22"/>
      <c r="C215" s="22" t="s">
        <v>487</v>
      </c>
      <c r="D215" s="24" t="s">
        <v>488</v>
      </c>
      <c r="E215" s="23">
        <f>Source!BZ104</f>
        <v>97</v>
      </c>
      <c r="F215" s="26"/>
      <c r="G215" s="25"/>
      <c r="H215" s="23"/>
      <c r="I215" s="26">
        <f>SUM(Q209:Q214)</f>
        <v>142.88</v>
      </c>
      <c r="J215" s="23">
        <f>Source!AT104</f>
        <v>97</v>
      </c>
      <c r="K215" s="26">
        <f>SUM(R209:R214)</f>
        <v>8252.7999999999993</v>
      </c>
    </row>
    <row r="216" spans="1:35" ht="14.25">
      <c r="A216" s="22"/>
      <c r="B216" s="22"/>
      <c r="C216" s="22" t="s">
        <v>489</v>
      </c>
      <c r="D216" s="24" t="s">
        <v>488</v>
      </c>
      <c r="E216" s="23">
        <f>Source!CA104</f>
        <v>51</v>
      </c>
      <c r="F216" s="26"/>
      <c r="G216" s="25"/>
      <c r="H216" s="23"/>
      <c r="I216" s="26">
        <f>SUM(S209:S215)</f>
        <v>75.12</v>
      </c>
      <c r="J216" s="23">
        <f>Source!AU104</f>
        <v>51</v>
      </c>
      <c r="K216" s="26">
        <f>SUM(T209:T215)</f>
        <v>4339.1000000000004</v>
      </c>
    </row>
    <row r="217" spans="1:35" ht="14.25">
      <c r="A217" s="28"/>
      <c r="B217" s="28"/>
      <c r="C217" s="28" t="s">
        <v>490</v>
      </c>
      <c r="D217" s="29" t="s">
        <v>491</v>
      </c>
      <c r="E217" s="30">
        <f>Source!AQ104</f>
        <v>33.79</v>
      </c>
      <c r="F217" s="31"/>
      <c r="G217" s="32" t="str">
        <f>Source!DI104</f>
        <v>*1,2</v>
      </c>
      <c r="H217" s="30">
        <f>Source!AV104</f>
        <v>1</v>
      </c>
      <c r="I217" s="31">
        <f>Source!U104</f>
        <v>12.164399999999999</v>
      </c>
      <c r="J217" s="30"/>
      <c r="K217" s="31"/>
      <c r="AB217" s="27">
        <f>I217</f>
        <v>12.164399999999999</v>
      </c>
    </row>
    <row r="218" spans="1:35" ht="15">
      <c r="C218" s="33" t="s">
        <v>492</v>
      </c>
      <c r="H218" s="69">
        <f>I211+I212+I214+I215+I216+0-0-0</f>
        <v>678.28</v>
      </c>
      <c r="I218" s="69"/>
      <c r="J218" s="69">
        <f>K211+K212+K214+K215+K216+0-0-0</f>
        <v>21908.189999999995</v>
      </c>
      <c r="K218" s="69"/>
    </row>
    <row r="219" spans="1:35" ht="15" hidden="1">
      <c r="C219" s="33" t="s">
        <v>493</v>
      </c>
      <c r="H219" s="68">
        <f>0+0</f>
        <v>0</v>
      </c>
      <c r="I219" s="68"/>
      <c r="J219" s="68">
        <f>0+0</f>
        <v>0</v>
      </c>
      <c r="K219" s="68"/>
    </row>
    <row r="220" spans="1:35" ht="15">
      <c r="H220" s="68"/>
      <c r="I220" s="68"/>
      <c r="J220" s="68"/>
      <c r="K220" s="68"/>
      <c r="O220" s="27">
        <f>I211+I212+I214+I215+I216+0</f>
        <v>678.28</v>
      </c>
      <c r="P220" s="27">
        <f>K211+K212+K214+K215+K216+0</f>
        <v>21908.189999999995</v>
      </c>
      <c r="X220">
        <f>IF(Source!BI104&lt;=1,I211+I212+I214+I215+I216-0, 0)</f>
        <v>0</v>
      </c>
      <c r="Y220">
        <f>IF(Source!BI104=2,I211+I212+I214+I215+I216-0, 0)</f>
        <v>678.28</v>
      </c>
      <c r="Z220">
        <f>IF(Source!BI104=3,I211+I212+I214+I215+I216-0, 0)</f>
        <v>0</v>
      </c>
      <c r="AA220">
        <f>IF(Source!BI104=4,I211+I212+I214+I215+I216,0)</f>
        <v>0</v>
      </c>
    </row>
    <row r="222" spans="1:35" ht="14.25">
      <c r="A222" s="28">
        <v>19</v>
      </c>
      <c r="B222" s="28" t="str">
        <f>Source!F112</f>
        <v>1.1-1-1966</v>
      </c>
      <c r="C222" s="28" t="s">
        <v>230</v>
      </c>
      <c r="D222" s="29" t="str">
        <f>Source!H112</f>
        <v>м</v>
      </c>
      <c r="E222" s="30">
        <f>Source!I112</f>
        <v>30</v>
      </c>
      <c r="F222" s="31">
        <f>Source!AL112</f>
        <v>16.739999999999998</v>
      </c>
      <c r="G222" s="32" t="str">
        <f>Source!DD112</f>
        <v/>
      </c>
      <c r="H222" s="30">
        <f>Source!AW112</f>
        <v>1</v>
      </c>
      <c r="I222" s="31">
        <f>ROUND((ROUND((Source!AC112*Source!AW112*Source!I112),2)),2)</f>
        <v>502.2</v>
      </c>
      <c r="J222" s="30">
        <f>IF(Source!BC112&lt;&gt; 0, Source!BC112, 1)</f>
        <v>4.13</v>
      </c>
      <c r="K222" s="31">
        <f>Source!P112</f>
        <v>2074.09</v>
      </c>
      <c r="Q222">
        <f>ROUND((Source!BZ112/100)*(ROUND((ROUND((Source!AF112*Source!AV112*Source!I112),2)),2)+(ROUND((ROUND(((Source!EU112)*Source!AV112*Source!I112),2)),2)+ROUND((ROUND(((Source!AE112-(Source!EU112))*Source!AV112*Source!I112),2)),2))), 2)</f>
        <v>0</v>
      </c>
      <c r="R222">
        <f>Source!X112</f>
        <v>0</v>
      </c>
      <c r="S222">
        <f>ROUND((Source!CA112/100)*(ROUND((ROUND((Source!AF112*Source!AV112*Source!I112),2)),2)+(ROUND((ROUND(((Source!EU112)*Source!AV112*Source!I112),2)),2)+ROUND((ROUND(((Source!AE112-(Source!EU112))*Source!AV112*Source!I112),2)),2))), 2)</f>
        <v>0</v>
      </c>
      <c r="T222">
        <f>Source!Y112</f>
        <v>0</v>
      </c>
      <c r="U222">
        <f>ROUND((175/100)*((ROUND((ROUND(((Source!EU112)*Source!AV112*Source!I112),2)),2)+ROUND((ROUND(((Source!AE112-(Source!EU112))*Source!AV112*Source!I112),2)),2))), 2)</f>
        <v>0</v>
      </c>
      <c r="V222">
        <f>ROUND((0/100)*((ROUND((ROUND(((Source!EU112)*Source!AV112*Source!I112),2)*Source!BS112),2)+ROUND((ROUND(((Source!AE112-(Source!EU112))*Source!AV112*Source!I112),2)*Source!BS112),2))), 2)</f>
        <v>0</v>
      </c>
      <c r="AI222">
        <v>3</v>
      </c>
    </row>
    <row r="223" spans="1:35" ht="15">
      <c r="C223" s="33" t="s">
        <v>497</v>
      </c>
      <c r="H223" s="69">
        <f>I222+0</f>
        <v>502.2</v>
      </c>
      <c r="I223" s="69"/>
      <c r="J223" s="69">
        <f>K222+0</f>
        <v>2074.09</v>
      </c>
      <c r="K223" s="69"/>
      <c r="O223" s="27">
        <f>I222+0</f>
        <v>502.2</v>
      </c>
      <c r="P223" s="27">
        <f>K222+0</f>
        <v>2074.09</v>
      </c>
      <c r="X223">
        <f>IF(Source!BI112&lt;=1,I222-0, 0)</f>
        <v>502.2</v>
      </c>
      <c r="Y223">
        <f>IF(Source!BI112=2,I222-0, 0)</f>
        <v>0</v>
      </c>
      <c r="Z223">
        <f>IF(Source!BI112=3,I222-0, 0)</f>
        <v>0</v>
      </c>
      <c r="AA223">
        <f>IF(Source!BI112=4,I222,0)</f>
        <v>0</v>
      </c>
    </row>
    <row r="225" spans="1:35" ht="28.5">
      <c r="A225" s="22">
        <v>20</v>
      </c>
      <c r="B225" s="22" t="str">
        <f>Source!F113</f>
        <v>4.8-162-2</v>
      </c>
      <c r="C225" s="22" t="s">
        <v>237</v>
      </c>
      <c r="D225" s="24" t="str">
        <f>Source!H113</f>
        <v>100 м</v>
      </c>
      <c r="E225" s="23">
        <f>Source!I113</f>
        <v>0.31</v>
      </c>
      <c r="F225" s="26"/>
      <c r="G225" s="25"/>
      <c r="H225" s="23"/>
      <c r="I225" s="26"/>
      <c r="J225" s="23"/>
      <c r="K225" s="26"/>
      <c r="Q225">
        <f>ROUND((Source!BZ113/100)*(ROUND((ROUND((Source!AF113*Source!AV113*Source!I113),2)),2)+(ROUND((ROUND((((Source!EU113*1.2))*Source!AV113*Source!I113),2)),2)+ROUND((ROUND(((Source!AE113-((Source!EU113*1.2)))*Source!AV113*Source!I113),2)),2))), 2)</f>
        <v>18.45</v>
      </c>
      <c r="R225">
        <f>Source!X113</f>
        <v>1065.6400000000001</v>
      </c>
      <c r="S225">
        <f>ROUND((Source!CA113/100)*(ROUND((ROUND((Source!AF113*Source!AV113*Source!I113),2)),2)+(ROUND((ROUND((((Source!EU113*1.2))*Source!AV113*Source!I113),2)),2)+ROUND((ROUND(((Source!AE113-((Source!EU113*1.2)))*Source!AV113*Source!I113),2)),2))), 2)</f>
        <v>9.6999999999999993</v>
      </c>
      <c r="T225">
        <f>Source!Y113</f>
        <v>560.29</v>
      </c>
      <c r="U225">
        <f>ROUND((175/100)*((ROUND((ROUND((((Source!EU113*1.2))*Source!AV113*Source!I113),2)),2)+ROUND((ROUND(((Source!AE113-((Source!EU113*1.2)))*Source!AV113*Source!I113),2)),2))), 2)</f>
        <v>0.25</v>
      </c>
      <c r="V225">
        <f>ROUND((0/100)*((ROUND((ROUND((((Source!EU113*1.2))*Source!AV113*Source!I113),2)*Source!BS113),2)+ROUND((ROUND(((Source!AE113-((Source!EU113*1.2)))*Source!AV113*Source!I113),2)*Source!BS113),2))), 2)</f>
        <v>0</v>
      </c>
      <c r="AI225">
        <v>0</v>
      </c>
    </row>
    <row r="226" spans="1:35">
      <c r="C226" s="36" t="str">
        <f>"Объем: "&amp;Source!I113&amp;"=(31)/"&amp;"100"</f>
        <v>Объем: 0,31=(31)/100</v>
      </c>
    </row>
    <row r="227" spans="1:35" ht="14.25">
      <c r="A227" s="22"/>
      <c r="B227" s="22"/>
      <c r="C227" s="22" t="s">
        <v>485</v>
      </c>
      <c r="D227" s="24"/>
      <c r="E227" s="23"/>
      <c r="F227" s="26">
        <f>Source!AO113</f>
        <v>50.76</v>
      </c>
      <c r="G227" s="25" t="str">
        <f>Source!DG113</f>
        <v>*1,2</v>
      </c>
      <c r="H227" s="23">
        <f>Source!AV113</f>
        <v>1</v>
      </c>
      <c r="I227" s="26">
        <f>ROUND((ROUND((Source!AF113*Source!AV113*Source!I113),2)),2)</f>
        <v>18.88</v>
      </c>
      <c r="J227" s="23">
        <f>IF(Source!BA113&lt;&gt; 0, Source!BA113, 1)</f>
        <v>57.76</v>
      </c>
      <c r="K227" s="26">
        <f>Source!S113</f>
        <v>1090.51</v>
      </c>
      <c r="W227">
        <f>I227</f>
        <v>18.88</v>
      </c>
    </row>
    <row r="228" spans="1:35" ht="14.25">
      <c r="A228" s="22"/>
      <c r="B228" s="22"/>
      <c r="C228" s="22" t="s">
        <v>486</v>
      </c>
      <c r="D228" s="24"/>
      <c r="E228" s="23"/>
      <c r="F228" s="26">
        <f>Source!AM113</f>
        <v>2.4900000000000002</v>
      </c>
      <c r="G228" s="25" t="str">
        <f>Source!DE113</f>
        <v>*1,2</v>
      </c>
      <c r="H228" s="23">
        <f>Source!AV113</f>
        <v>1</v>
      </c>
      <c r="I228" s="26">
        <f>(ROUND((ROUND((((Source!ET113*1.2))*Source!AV113*Source!I113),2)),2)+ROUND((ROUND(((Source!AE113-((Source!EU113*1.2)))*Source!AV113*Source!I113),2)),2))</f>
        <v>0.93</v>
      </c>
      <c r="J228" s="23">
        <f>IF(Source!BB113&lt;&gt; 0, Source!BB113, 1)</f>
        <v>18.04</v>
      </c>
      <c r="K228" s="26">
        <f>Source!Q113</f>
        <v>16.78</v>
      </c>
    </row>
    <row r="229" spans="1:35" ht="14.25">
      <c r="A229" s="22"/>
      <c r="B229" s="22"/>
      <c r="C229" s="22" t="s">
        <v>494</v>
      </c>
      <c r="D229" s="24"/>
      <c r="E229" s="23"/>
      <c r="F229" s="26">
        <f>Source!AN113</f>
        <v>0.38</v>
      </c>
      <c r="G229" s="25" t="str">
        <f>Source!DF113</f>
        <v>*1,2</v>
      </c>
      <c r="H229" s="23">
        <f>Source!AV113</f>
        <v>1</v>
      </c>
      <c r="I229" s="34">
        <f>(ROUND((ROUND((((Source!EU113*1.2))*Source!AV113*Source!I113),2)),2)+ROUND((ROUND(((Source!AE113-((Source!EU113*1.2)))*Source!AV113*Source!I113),2)),2))</f>
        <v>0.14000000000000001</v>
      </c>
      <c r="J229" s="23">
        <f>IF(Source!BS113&lt;&gt; 0, Source!BS113, 1)</f>
        <v>57.76</v>
      </c>
      <c r="K229" s="34">
        <f>Source!R113</f>
        <v>8.09</v>
      </c>
      <c r="W229">
        <f>I229</f>
        <v>0.14000000000000001</v>
      </c>
    </row>
    <row r="230" spans="1:35" ht="14.25">
      <c r="A230" s="22"/>
      <c r="B230" s="22"/>
      <c r="C230" s="22" t="s">
        <v>495</v>
      </c>
      <c r="D230" s="24"/>
      <c r="E230" s="23"/>
      <c r="F230" s="26">
        <f>Source!AL113</f>
        <v>102.24</v>
      </c>
      <c r="G230" s="25" t="str">
        <f>Source!DD113</f>
        <v>*1</v>
      </c>
      <c r="H230" s="23">
        <f>Source!AW113</f>
        <v>1</v>
      </c>
      <c r="I230" s="26">
        <f>ROUND((ROUND((Source!AC113*Source!AW113*Source!I113),2)),2)</f>
        <v>31.69</v>
      </c>
      <c r="J230" s="23">
        <f>IF(Source!BC113&lt;&gt; 0, Source!BC113, 1)</f>
        <v>7.74</v>
      </c>
      <c r="K230" s="26">
        <f>Source!P113</f>
        <v>245.28</v>
      </c>
    </row>
    <row r="231" spans="1:35" ht="28.5">
      <c r="A231" s="22" t="s">
        <v>239</v>
      </c>
      <c r="B231" s="22" t="str">
        <f>Source!F114</f>
        <v>3500000000</v>
      </c>
      <c r="C231" s="22" t="s">
        <v>241</v>
      </c>
      <c r="D231" s="24" t="str">
        <f>Source!H114</f>
        <v>км</v>
      </c>
      <c r="E231" s="23">
        <f>Source!I114</f>
        <v>3.1620000000000002E-2</v>
      </c>
      <c r="F231" s="26">
        <f>Source!AK114</f>
        <v>0</v>
      </c>
      <c r="G231" s="35" t="s">
        <v>3</v>
      </c>
      <c r="H231" s="23">
        <f>Source!AW114</f>
        <v>1</v>
      </c>
      <c r="I231" s="26">
        <f>ROUND((ROUND((Source!AC114*Source!AW114*Source!I114),2)),2)+(ROUND((ROUND(((Source!ET114)*Source!AV114*Source!I114),2)),2)+ROUND((ROUND(((Source!AE114-(Source!EU114))*Source!AV114*Source!I114),2)),2))+ROUND((ROUND((Source!AF114*Source!AV114*Source!I114),2)),2)</f>
        <v>0</v>
      </c>
      <c r="J231" s="23">
        <f>IF(Source!BC114&lt;&gt; 0, Source!BC114, 1)</f>
        <v>1</v>
      </c>
      <c r="K231" s="26">
        <f>Source!O114</f>
        <v>0</v>
      </c>
      <c r="Q231">
        <f>ROUND((Source!BZ114/100)*(ROUND((ROUND((Source!AF114*Source!AV114*Source!I114),2)),2)+(ROUND((ROUND(((Source!EU114)*Source!AV114*Source!I114),2)),2)+ROUND((ROUND(((Source!AE114-(Source!EU114))*Source!AV114*Source!I114),2)),2))), 2)</f>
        <v>0</v>
      </c>
      <c r="R231">
        <f>Source!X114</f>
        <v>0</v>
      </c>
      <c r="S231">
        <f>ROUND((Source!CA114/100)*(ROUND((ROUND((Source!AF114*Source!AV114*Source!I114),2)),2)+(ROUND((ROUND(((Source!EU114)*Source!AV114*Source!I114),2)),2)+ROUND((ROUND(((Source!AE114-(Source!EU114))*Source!AV114*Source!I114),2)),2))), 2)</f>
        <v>0</v>
      </c>
      <c r="T231">
        <f>Source!Y114</f>
        <v>0</v>
      </c>
      <c r="U231">
        <f>ROUND((175/100)*((ROUND((ROUND(((Source!EU114)*Source!AV114*Source!I114),2)),2)+ROUND((ROUND(((Source!AE114-(Source!EU114))*Source!AV114*Source!I114),2)),2))), 2)</f>
        <v>0</v>
      </c>
      <c r="V231">
        <f>ROUND((0/100)*((ROUND((ROUND(((Source!EU114)*Source!AV114*Source!I114),2)*Source!BS114),2)+ROUND((ROUND(((Source!AE114-(Source!EU114))*Source!AV114*Source!I114),2)*Source!BS114),2))), 2)</f>
        <v>0</v>
      </c>
      <c r="X231">
        <f>IF(Source!BI114&lt;=1,I231, 0)</f>
        <v>0</v>
      </c>
      <c r="Y231">
        <f>IF(Source!BI114=2,I231, 0)</f>
        <v>0</v>
      </c>
      <c r="Z231">
        <f>IF(Source!BI114=3,I231, 0)</f>
        <v>0</v>
      </c>
      <c r="AA231">
        <f>IF(Source!BI114=4,I231, 0)</f>
        <v>0</v>
      </c>
      <c r="AI231">
        <v>3</v>
      </c>
    </row>
    <row r="232" spans="1:35" ht="14.25">
      <c r="A232" s="22"/>
      <c r="B232" s="22"/>
      <c r="C232" s="22" t="s">
        <v>487</v>
      </c>
      <c r="D232" s="24" t="s">
        <v>488</v>
      </c>
      <c r="E232" s="23">
        <f>Source!BZ113</f>
        <v>97</v>
      </c>
      <c r="F232" s="26"/>
      <c r="G232" s="25"/>
      <c r="H232" s="23"/>
      <c r="I232" s="26">
        <f>SUM(Q225:Q231)</f>
        <v>18.45</v>
      </c>
      <c r="J232" s="23">
        <f>Source!AT113</f>
        <v>97</v>
      </c>
      <c r="K232" s="26">
        <f>SUM(R225:R231)</f>
        <v>1065.6400000000001</v>
      </c>
    </row>
    <row r="233" spans="1:35" ht="14.25">
      <c r="A233" s="22"/>
      <c r="B233" s="22"/>
      <c r="C233" s="22" t="s">
        <v>489</v>
      </c>
      <c r="D233" s="24" t="s">
        <v>488</v>
      </c>
      <c r="E233" s="23">
        <f>Source!CA113</f>
        <v>51</v>
      </c>
      <c r="F233" s="26"/>
      <c r="G233" s="25"/>
      <c r="H233" s="23"/>
      <c r="I233" s="26">
        <f>SUM(S225:S232)</f>
        <v>9.6999999999999993</v>
      </c>
      <c r="J233" s="23">
        <f>Source!AU113</f>
        <v>51</v>
      </c>
      <c r="K233" s="26">
        <f>SUM(T225:T232)</f>
        <v>560.29</v>
      </c>
    </row>
    <row r="234" spans="1:35" ht="14.25">
      <c r="A234" s="28"/>
      <c r="B234" s="28"/>
      <c r="C234" s="28" t="s">
        <v>490</v>
      </c>
      <c r="D234" s="29" t="s">
        <v>491</v>
      </c>
      <c r="E234" s="30">
        <f>Source!AQ113</f>
        <v>4.12</v>
      </c>
      <c r="F234" s="31"/>
      <c r="G234" s="32" t="str">
        <f>Source!DI113</f>
        <v>*1,2</v>
      </c>
      <c r="H234" s="30">
        <f>Source!AV113</f>
        <v>1</v>
      </c>
      <c r="I234" s="31">
        <f>Source!U113</f>
        <v>1.53264</v>
      </c>
      <c r="J234" s="30"/>
      <c r="K234" s="31"/>
      <c r="AB234" s="27">
        <f>I234</f>
        <v>1.53264</v>
      </c>
    </row>
    <row r="235" spans="1:35" ht="15">
      <c r="C235" s="33" t="s">
        <v>492</v>
      </c>
      <c r="H235" s="69">
        <f>I227+I228+I230+I232+I233+SUM(I231:I231)-SUMIF(AI231:AI231, 5, I231:I231)-SUMIF(AI231:AI231, 6, I231:I231)</f>
        <v>79.650000000000006</v>
      </c>
      <c r="I235" s="69"/>
      <c r="J235" s="69">
        <f>K227+K228+K230+K232+K233+SUM(K231:K231)-SUMIF(AI231:AI231, 5, K231:K231)-SUMIF(AI231:AI231, 6, K231:K231)</f>
        <v>2978.5</v>
      </c>
      <c r="K235" s="69"/>
    </row>
    <row r="236" spans="1:35" ht="15" hidden="1">
      <c r="C236" s="33" t="s">
        <v>493</v>
      </c>
      <c r="H236" s="68">
        <f>SUMIF(AI231:AI231, 5, I231:I231)+SUMIF(AI231:AI231, 6, I231:I231)</f>
        <v>0</v>
      </c>
      <c r="I236" s="68"/>
      <c r="J236" s="68">
        <f>SUMIF(AI231:AI231, 5, K231:K231)+SUMIF(AI231:AI231, 6, K231:K231)</f>
        <v>0</v>
      </c>
      <c r="K236" s="68"/>
    </row>
    <row r="237" spans="1:35" ht="15">
      <c r="H237" s="68"/>
      <c r="I237" s="68"/>
      <c r="J237" s="68"/>
      <c r="K237" s="68"/>
      <c r="O237" s="27">
        <f>I227+I228+I230+I232+I233+SUM(I231:I231)</f>
        <v>79.650000000000006</v>
      </c>
      <c r="P237" s="27">
        <f>K227+K228+K230+K232+K233+SUM(K231:K231)</f>
        <v>2978.5</v>
      </c>
      <c r="X237">
        <f>IF(Source!BI113&lt;=1,I227+I228+I230+I232+I233-0, 0)</f>
        <v>0</v>
      </c>
      <c r="Y237">
        <f>IF(Source!BI113=2,I227+I228+I230+I232+I233-0, 0)</f>
        <v>79.650000000000006</v>
      </c>
      <c r="Z237">
        <f>IF(Source!BI113=3,I227+I228+I230+I232+I233-0, 0)</f>
        <v>0</v>
      </c>
      <c r="AA237">
        <f>IF(Source!BI113=4,I227+I228+I230+I232+I233,0)</f>
        <v>0</v>
      </c>
    </row>
    <row r="239" spans="1:35" ht="42.75">
      <c r="A239" s="28">
        <v>21</v>
      </c>
      <c r="B239" s="28" t="str">
        <f>Source!F115</f>
        <v>Цена поставщика</v>
      </c>
      <c r="C239" s="28" t="s">
        <v>504</v>
      </c>
      <c r="D239" s="29" t="str">
        <f>Source!H115</f>
        <v>м</v>
      </c>
      <c r="E239" s="30">
        <f>Source!I115</f>
        <v>31.62</v>
      </c>
      <c r="F239" s="31">
        <f>Source!AL115</f>
        <v>383.52</v>
      </c>
      <c r="G239" s="32" t="str">
        <f>Source!DD115</f>
        <v/>
      </c>
      <c r="H239" s="30">
        <f>Source!AW115</f>
        <v>1</v>
      </c>
      <c r="I239" s="31">
        <f>ROUND((ROUND((Source!AC115*Source!AW115*Source!I115),2)),2)</f>
        <v>12126.9</v>
      </c>
      <c r="J239" s="30">
        <f>IF(Source!BC115&lt;&gt; 0, Source!BC115, 1)</f>
        <v>1</v>
      </c>
      <c r="K239" s="31">
        <f>Source!P115</f>
        <v>12126.9</v>
      </c>
      <c r="Q239">
        <f>ROUND((Source!BZ115/100)*(ROUND((ROUND((Source!AF115*Source!AV115*Source!I115),2)),2)+(ROUND((ROUND(((Source!EU115)*Source!AV115*Source!I115),2)),2)+ROUND((ROUND(((Source!AE115-(Source!EU115))*Source!AV115*Source!I115),2)),2))), 2)</f>
        <v>0</v>
      </c>
      <c r="R239">
        <f>Source!X115</f>
        <v>0</v>
      </c>
      <c r="S239">
        <f>ROUND((Source!CA115/100)*(ROUND((ROUND((Source!AF115*Source!AV115*Source!I115),2)),2)+(ROUND((ROUND(((Source!EU115)*Source!AV115*Source!I115),2)),2)+ROUND((ROUND(((Source!AE115-(Source!EU115))*Source!AV115*Source!I115),2)),2))), 2)</f>
        <v>0</v>
      </c>
      <c r="T239">
        <f>Source!Y115</f>
        <v>0</v>
      </c>
      <c r="U239">
        <f>ROUND((175/100)*((ROUND((ROUND(((Source!EU115)*Source!AV115*Source!I115),2)),2)+ROUND((ROUND(((Source!AE115-(Source!EU115))*Source!AV115*Source!I115),2)),2))), 2)</f>
        <v>0</v>
      </c>
      <c r="V239">
        <f>ROUND((0/100)*((ROUND((ROUND(((Source!EU115)*Source!AV115*Source!I115),2)*Source!BS115),2)+ROUND((ROUND(((Source!AE115-(Source!EU115))*Source!AV115*Source!I115),2)*Source!BS115),2))), 2)</f>
        <v>0</v>
      </c>
      <c r="AI239">
        <v>3</v>
      </c>
    </row>
    <row r="240" spans="1:35" ht="15">
      <c r="C240" s="33" t="s">
        <v>497</v>
      </c>
      <c r="H240" s="69">
        <f>I239+0</f>
        <v>12126.9</v>
      </c>
      <c r="I240" s="69"/>
      <c r="J240" s="69">
        <f>K239+0</f>
        <v>12126.9</v>
      </c>
      <c r="K240" s="69"/>
      <c r="O240" s="27">
        <f>I239+0</f>
        <v>12126.9</v>
      </c>
      <c r="P240" s="27">
        <f>K239+0</f>
        <v>12126.9</v>
      </c>
      <c r="X240">
        <f>IF(Source!BI115&lt;=1,I239-0, 0)</f>
        <v>12126.9</v>
      </c>
      <c r="Y240">
        <f>IF(Source!BI115=2,I239-0, 0)</f>
        <v>0</v>
      </c>
      <c r="Z240">
        <f>IF(Source!BI115=3,I239-0, 0)</f>
        <v>0</v>
      </c>
      <c r="AA240">
        <f>IF(Source!BI115=4,I239,0)</f>
        <v>0</v>
      </c>
    </row>
    <row r="242" spans="1:35" ht="99.75">
      <c r="A242" s="22">
        <v>22</v>
      </c>
      <c r="B242" s="22" t="str">
        <f>Source!F116</f>
        <v>4.8-241-1</v>
      </c>
      <c r="C242" s="22" t="s">
        <v>91</v>
      </c>
      <c r="D242" s="24" t="str">
        <f>Source!H116</f>
        <v>100 жил</v>
      </c>
      <c r="E242" s="23">
        <f>Source!I116</f>
        <v>0.1</v>
      </c>
      <c r="F242" s="26"/>
      <c r="G242" s="25"/>
      <c r="H242" s="23"/>
      <c r="I242" s="26"/>
      <c r="J242" s="23"/>
      <c r="K242" s="26"/>
      <c r="Q242">
        <f>ROUND((Source!BZ116/100)*(ROUND((ROUND((Source!AF116*Source!AV116*Source!I116),2)),2)+(ROUND((ROUND((((Source!EU116*1.2))*Source!AV116*Source!I116),2)),2)+ROUND((ROUND(((Source!AE116-((Source!EU116*1.2)))*Source!AV116*Source!I116),2)),2))), 2)</f>
        <v>23.38</v>
      </c>
      <c r="R242">
        <f>Source!X116</f>
        <v>1350.26</v>
      </c>
      <c r="S242">
        <f>ROUND((Source!CA116/100)*(ROUND((ROUND((Source!AF116*Source!AV116*Source!I116),2)),2)+(ROUND((ROUND((((Source!EU116*1.2))*Source!AV116*Source!I116),2)),2)+ROUND((ROUND(((Source!AE116-((Source!EU116*1.2)))*Source!AV116*Source!I116),2)),2))), 2)</f>
        <v>12.29</v>
      </c>
      <c r="T242">
        <f>Source!Y116</f>
        <v>709.93</v>
      </c>
      <c r="U242">
        <f>ROUND((175/100)*((ROUND((ROUND((((Source!EU116*1.2))*Source!AV116*Source!I116),2)),2)+ROUND((ROUND(((Source!AE116-((Source!EU116*1.2)))*Source!AV116*Source!I116),2)),2))), 2)</f>
        <v>0.04</v>
      </c>
      <c r="V242">
        <f>ROUND((0/100)*((ROUND((ROUND((((Source!EU116*1.2))*Source!AV116*Source!I116),2)*Source!BS116),2)+ROUND((ROUND(((Source!AE116-((Source!EU116*1.2)))*Source!AV116*Source!I116),2)*Source!BS116),2))), 2)</f>
        <v>0</v>
      </c>
      <c r="AI242">
        <v>0</v>
      </c>
    </row>
    <row r="243" spans="1:35">
      <c r="C243" s="36" t="str">
        <f>"Объем: "&amp;Source!I116&amp;"=10/"&amp;"100"</f>
        <v>Объем: 0,1=10/100</v>
      </c>
    </row>
    <row r="244" spans="1:35" ht="14.25">
      <c r="A244" s="22"/>
      <c r="B244" s="22"/>
      <c r="C244" s="22" t="s">
        <v>485</v>
      </c>
      <c r="D244" s="24"/>
      <c r="E244" s="23"/>
      <c r="F244" s="26">
        <f>Source!AO116</f>
        <v>200.7</v>
      </c>
      <c r="G244" s="25" t="str">
        <f>Source!DG116</f>
        <v>*1,2</v>
      </c>
      <c r="H244" s="23">
        <f>Source!AV116</f>
        <v>1</v>
      </c>
      <c r="I244" s="26">
        <f>ROUND((ROUND((Source!AF116*Source!AV116*Source!I116),2)),2)</f>
        <v>24.08</v>
      </c>
      <c r="J244" s="23">
        <f>IF(Source!BA116&lt;&gt; 0, Source!BA116, 1)</f>
        <v>57.76</v>
      </c>
      <c r="K244" s="26">
        <f>Source!S116</f>
        <v>1390.86</v>
      </c>
      <c r="W244">
        <f>I244</f>
        <v>24.08</v>
      </c>
    </row>
    <row r="245" spans="1:35" ht="14.25">
      <c r="A245" s="22"/>
      <c r="B245" s="22"/>
      <c r="C245" s="22" t="s">
        <v>486</v>
      </c>
      <c r="D245" s="24"/>
      <c r="E245" s="23"/>
      <c r="F245" s="26">
        <f>Source!AM116</f>
        <v>0.83</v>
      </c>
      <c r="G245" s="25" t="str">
        <f>Source!DE116</f>
        <v>*1,2</v>
      </c>
      <c r="H245" s="23">
        <f>Source!AV116</f>
        <v>1</v>
      </c>
      <c r="I245" s="26">
        <f>(ROUND((ROUND((((Source!ET116*1.2))*Source!AV116*Source!I116),2)),2)+ROUND((ROUND(((Source!AE116-((Source!EU116*1.2)))*Source!AV116*Source!I116),2)),2))</f>
        <v>0.1</v>
      </c>
      <c r="J245" s="23">
        <f>IF(Source!BB116&lt;&gt; 0, Source!BB116, 1)</f>
        <v>18.04</v>
      </c>
      <c r="K245" s="26">
        <f>Source!Q116</f>
        <v>1.8</v>
      </c>
    </row>
    <row r="246" spans="1:35" ht="14.25">
      <c r="A246" s="22"/>
      <c r="B246" s="22"/>
      <c r="C246" s="22" t="s">
        <v>494</v>
      </c>
      <c r="D246" s="24"/>
      <c r="E246" s="23"/>
      <c r="F246" s="26">
        <f>Source!AN116</f>
        <v>0.13</v>
      </c>
      <c r="G246" s="25" t="str">
        <f>Source!DF116</f>
        <v>*1,2</v>
      </c>
      <c r="H246" s="23">
        <f>Source!AV116</f>
        <v>1</v>
      </c>
      <c r="I246" s="34">
        <f>(ROUND((ROUND((((Source!EU116*1.2))*Source!AV116*Source!I116),2)),2)+ROUND((ROUND(((Source!AE116-((Source!EU116*1.2)))*Source!AV116*Source!I116),2)),2))</f>
        <v>0.02</v>
      </c>
      <c r="J246" s="23">
        <f>IF(Source!BS116&lt;&gt; 0, Source!BS116, 1)</f>
        <v>57.76</v>
      </c>
      <c r="K246" s="34">
        <f>Source!R116</f>
        <v>1.1599999999999999</v>
      </c>
      <c r="W246">
        <f>I246</f>
        <v>0.02</v>
      </c>
    </row>
    <row r="247" spans="1:35" ht="14.25">
      <c r="A247" s="22"/>
      <c r="B247" s="22"/>
      <c r="C247" s="22" t="s">
        <v>495</v>
      </c>
      <c r="D247" s="24"/>
      <c r="E247" s="23"/>
      <c r="F247" s="26">
        <f>Source!AL116</f>
        <v>74.099999999999994</v>
      </c>
      <c r="G247" s="25" t="str">
        <f>Source!DD116</f>
        <v>*1</v>
      </c>
      <c r="H247" s="23">
        <f>Source!AW116</f>
        <v>1</v>
      </c>
      <c r="I247" s="26">
        <f>ROUND((ROUND((Source!AC116*Source!AW116*Source!I116),2)),2)</f>
        <v>7.41</v>
      </c>
      <c r="J247" s="23">
        <f>IF(Source!BC116&lt;&gt; 0, Source!BC116, 1)</f>
        <v>5.63</v>
      </c>
      <c r="K247" s="26">
        <f>Source!P116</f>
        <v>41.72</v>
      </c>
    </row>
    <row r="248" spans="1:35" ht="28.5">
      <c r="A248" s="22" t="s">
        <v>247</v>
      </c>
      <c r="B248" s="22" t="str">
        <f>Source!F117</f>
        <v>3449800000</v>
      </c>
      <c r="C248" s="22" t="s">
        <v>35</v>
      </c>
      <c r="D248" s="24" t="str">
        <f>Source!H117</f>
        <v>шт.</v>
      </c>
      <c r="E248" s="23">
        <f>Source!I117</f>
        <v>10.199999999999999</v>
      </c>
      <c r="F248" s="26">
        <f>Source!AK117</f>
        <v>0</v>
      </c>
      <c r="G248" s="35" t="s">
        <v>3</v>
      </c>
      <c r="H248" s="23">
        <f>Source!AW117</f>
        <v>1</v>
      </c>
      <c r="I248" s="26">
        <f>ROUND((ROUND((Source!AC117*Source!AW117*Source!I117),2)),2)+(ROUND((ROUND(((Source!ET117)*Source!AV117*Source!I117),2)),2)+ROUND((ROUND(((Source!AE117-(Source!EU117))*Source!AV117*Source!I117),2)),2))+ROUND((ROUND((Source!AF117*Source!AV117*Source!I117),2)),2)</f>
        <v>0</v>
      </c>
      <c r="J248" s="23">
        <f>IF(Source!BC117&lt;&gt; 0, Source!BC117, 1)</f>
        <v>1</v>
      </c>
      <c r="K248" s="26">
        <f>Source!O117</f>
        <v>0</v>
      </c>
      <c r="Q248">
        <f>ROUND((Source!BZ117/100)*(ROUND((ROUND((Source!AF117*Source!AV117*Source!I117),2)),2)+(ROUND((ROUND(((Source!EU117)*Source!AV117*Source!I117),2)),2)+ROUND((ROUND(((Source!AE117-(Source!EU117))*Source!AV117*Source!I117),2)),2))), 2)</f>
        <v>0</v>
      </c>
      <c r="R248">
        <f>Source!X117</f>
        <v>0</v>
      </c>
      <c r="S248">
        <f>ROUND((Source!CA117/100)*(ROUND((ROUND((Source!AF117*Source!AV117*Source!I117),2)),2)+(ROUND((ROUND(((Source!EU117)*Source!AV117*Source!I117),2)),2)+ROUND((ROUND(((Source!AE117-(Source!EU117))*Source!AV117*Source!I117),2)),2))), 2)</f>
        <v>0</v>
      </c>
      <c r="T248">
        <f>Source!Y117</f>
        <v>0</v>
      </c>
      <c r="U248">
        <f>ROUND((175/100)*((ROUND((ROUND(((Source!EU117)*Source!AV117*Source!I117),2)),2)+ROUND((ROUND(((Source!AE117-(Source!EU117))*Source!AV117*Source!I117),2)),2))), 2)</f>
        <v>0</v>
      </c>
      <c r="V248">
        <f>ROUND((0/100)*((ROUND((ROUND(((Source!EU117)*Source!AV117*Source!I117),2)*Source!BS117),2)+ROUND((ROUND(((Source!AE117-(Source!EU117))*Source!AV117*Source!I117),2)*Source!BS117),2))), 2)</f>
        <v>0</v>
      </c>
      <c r="X248">
        <f>IF(Source!BI117&lt;=1,I248, 0)</f>
        <v>0</v>
      </c>
      <c r="Y248">
        <f>IF(Source!BI117=2,I248, 0)</f>
        <v>0</v>
      </c>
      <c r="Z248">
        <f>IF(Source!BI117=3,I248, 0)</f>
        <v>0</v>
      </c>
      <c r="AA248">
        <f>IF(Source!BI117=4,I248, 0)</f>
        <v>0</v>
      </c>
      <c r="AI248">
        <v>3</v>
      </c>
    </row>
    <row r="249" spans="1:35" ht="14.25">
      <c r="A249" s="22"/>
      <c r="B249" s="22"/>
      <c r="C249" s="22" t="s">
        <v>487</v>
      </c>
      <c r="D249" s="24" t="s">
        <v>488</v>
      </c>
      <c r="E249" s="23">
        <f>Source!BZ116</f>
        <v>97</v>
      </c>
      <c r="F249" s="26"/>
      <c r="G249" s="25"/>
      <c r="H249" s="23"/>
      <c r="I249" s="26">
        <f>SUM(Q242:Q248)</f>
        <v>23.38</v>
      </c>
      <c r="J249" s="23">
        <f>Source!AT116</f>
        <v>97</v>
      </c>
      <c r="K249" s="26">
        <f>SUM(R242:R248)</f>
        <v>1350.26</v>
      </c>
    </row>
    <row r="250" spans="1:35" ht="14.25">
      <c r="A250" s="22"/>
      <c r="B250" s="22"/>
      <c r="C250" s="22" t="s">
        <v>489</v>
      </c>
      <c r="D250" s="24" t="s">
        <v>488</v>
      </c>
      <c r="E250" s="23">
        <f>Source!CA116</f>
        <v>51</v>
      </c>
      <c r="F250" s="26"/>
      <c r="G250" s="25"/>
      <c r="H250" s="23"/>
      <c r="I250" s="26">
        <f>SUM(S242:S249)</f>
        <v>12.29</v>
      </c>
      <c r="J250" s="23">
        <f>Source!AU116</f>
        <v>51</v>
      </c>
      <c r="K250" s="26">
        <f>SUM(T242:T249)</f>
        <v>709.93</v>
      </c>
    </row>
    <row r="251" spans="1:35" ht="14.25">
      <c r="A251" s="28"/>
      <c r="B251" s="28"/>
      <c r="C251" s="28" t="s">
        <v>490</v>
      </c>
      <c r="D251" s="29" t="s">
        <v>491</v>
      </c>
      <c r="E251" s="30">
        <f>Source!AQ116</f>
        <v>15.45</v>
      </c>
      <c r="F251" s="31"/>
      <c r="G251" s="32" t="str">
        <f>Source!DI116</f>
        <v>*1,2</v>
      </c>
      <c r="H251" s="30">
        <f>Source!AV116</f>
        <v>1</v>
      </c>
      <c r="I251" s="31">
        <f>Source!U116</f>
        <v>1.8540000000000001</v>
      </c>
      <c r="J251" s="30"/>
      <c r="K251" s="31"/>
      <c r="AB251" s="27">
        <f>I251</f>
        <v>1.8540000000000001</v>
      </c>
    </row>
    <row r="252" spans="1:35" ht="15">
      <c r="C252" s="33" t="s">
        <v>492</v>
      </c>
      <c r="H252" s="69">
        <f>I244+I245+I247+I249+I250+SUM(I248:I248)-SUMIF(AI248:AI248, 5, I248:I248)-SUMIF(AI248:AI248, 6, I248:I248)</f>
        <v>67.259999999999991</v>
      </c>
      <c r="I252" s="69"/>
      <c r="J252" s="69">
        <f>K244+K245+K247+K249+K250+SUM(K248:K248)-SUMIF(AI248:AI248, 5, K248:K248)-SUMIF(AI248:AI248, 6, K248:K248)</f>
        <v>3494.5699999999997</v>
      </c>
      <c r="K252" s="69"/>
    </row>
    <row r="253" spans="1:35" ht="15" hidden="1">
      <c r="C253" s="33" t="s">
        <v>493</v>
      </c>
      <c r="H253" s="68">
        <f>SUMIF(AI248:AI248, 5, I248:I248)+SUMIF(AI248:AI248, 6, I248:I248)</f>
        <v>0</v>
      </c>
      <c r="I253" s="68"/>
      <c r="J253" s="68">
        <f>SUMIF(AI248:AI248, 5, K248:K248)+SUMIF(AI248:AI248, 6, K248:K248)</f>
        <v>0</v>
      </c>
      <c r="K253" s="68"/>
    </row>
    <row r="254" spans="1:35" ht="15">
      <c r="H254" s="68"/>
      <c r="I254" s="68"/>
      <c r="J254" s="68"/>
      <c r="K254" s="68"/>
      <c r="O254" s="27">
        <f>I244+I245+I247+I249+I250+SUM(I248:I248)</f>
        <v>67.259999999999991</v>
      </c>
      <c r="P254" s="27">
        <f>K244+K245+K247+K249+K250+SUM(K248:K248)</f>
        <v>3494.5699999999997</v>
      </c>
      <c r="X254">
        <f>IF(Source!BI116&lt;=1,I244+I245+I247+I249+I250-0, 0)</f>
        <v>0</v>
      </c>
      <c r="Y254">
        <f>IF(Source!BI116=2,I244+I245+I247+I249+I250-0, 0)</f>
        <v>67.259999999999991</v>
      </c>
      <c r="Z254">
        <f>IF(Source!BI116=3,I244+I245+I247+I249+I250-0, 0)</f>
        <v>0</v>
      </c>
      <c r="AA254">
        <f>IF(Source!BI116=4,I244+I245+I247+I249+I250,0)</f>
        <v>0</v>
      </c>
    </row>
    <row r="256" spans="1:35" ht="28.5">
      <c r="A256" s="22">
        <v>23</v>
      </c>
      <c r="B256" s="22" t="str">
        <f>Source!F118</f>
        <v>3.20-32-1</v>
      </c>
      <c r="C256" s="22" t="s">
        <v>250</v>
      </c>
      <c r="D256" s="24" t="str">
        <f>Source!H118</f>
        <v>1 агрегат</v>
      </c>
      <c r="E256" s="23">
        <f>Source!I118</f>
        <v>1</v>
      </c>
      <c r="F256" s="26"/>
      <c r="G256" s="25"/>
      <c r="H256" s="23"/>
      <c r="I256" s="26"/>
      <c r="J256" s="23"/>
      <c r="K256" s="26"/>
      <c r="Q256">
        <f>ROUND((Source!BZ118/100)*(ROUND((ROUND((Source!AF118*Source!AV118*Source!I118),2)),2)+(ROUND((ROUND((((Source!EU118*1.2))*Source!AV118*Source!I118),2)),2)+ROUND((ROUND(((Source!AE118-((Source!EU118*1.2)))*Source!AV118*Source!I118),2)),2))), 2)</f>
        <v>114.96</v>
      </c>
      <c r="R256">
        <f>Source!X118</f>
        <v>6640.21</v>
      </c>
      <c r="S256">
        <f>ROUND((Source!CA118/100)*(ROUND((ROUND((Source!AF118*Source!AV118*Source!I118),2)),2)+(ROUND((ROUND((((Source!EU118*1.2))*Source!AV118*Source!I118),2)),2)+ROUND((ROUND(((Source!AE118-((Source!EU118*1.2)))*Source!AV118*Source!I118),2)),2))), 2)</f>
        <v>64.34</v>
      </c>
      <c r="T256">
        <f>Source!Y118</f>
        <v>3716.08</v>
      </c>
      <c r="U256">
        <f>ROUND((175/100)*((ROUND((ROUND((((Source!EU118*1.2))*Source!AV118*Source!I118),2)),2)+ROUND((ROUND(((Source!AE118-((Source!EU118*1.2)))*Source!AV118*Source!I118),2)),2))), 2)</f>
        <v>3.9</v>
      </c>
      <c r="V256">
        <f>ROUND((0/100)*((ROUND((ROUND((((Source!EU118*1.2))*Source!AV118*Source!I118),2)*Source!BS118),2)+ROUND((ROUND(((Source!AE118-((Source!EU118*1.2)))*Source!AV118*Source!I118),2)*Source!BS118),2))), 2)</f>
        <v>0</v>
      </c>
      <c r="AI256">
        <v>0</v>
      </c>
    </row>
    <row r="257" spans="1:35" ht="14.25">
      <c r="A257" s="22"/>
      <c r="B257" s="22"/>
      <c r="C257" s="22" t="s">
        <v>485</v>
      </c>
      <c r="D257" s="24"/>
      <c r="E257" s="23"/>
      <c r="F257" s="26">
        <f>Source!AO118</f>
        <v>86.03</v>
      </c>
      <c r="G257" s="25" t="str">
        <f>Source!DG118</f>
        <v>*1,2</v>
      </c>
      <c r="H257" s="23">
        <f>Source!AV118</f>
        <v>1</v>
      </c>
      <c r="I257" s="26">
        <f>ROUND((ROUND((Source!AF118*Source!AV118*Source!I118),2)),2)</f>
        <v>103.24</v>
      </c>
      <c r="J257" s="23">
        <f>IF(Source!BA118&lt;&gt; 0, Source!BA118, 1)</f>
        <v>57.76</v>
      </c>
      <c r="K257" s="26">
        <f>Source!S118</f>
        <v>5963.14</v>
      </c>
      <c r="W257">
        <f>I257</f>
        <v>103.24</v>
      </c>
    </row>
    <row r="258" spans="1:35" ht="14.25">
      <c r="A258" s="22"/>
      <c r="B258" s="22"/>
      <c r="C258" s="22" t="s">
        <v>486</v>
      </c>
      <c r="D258" s="24"/>
      <c r="E258" s="23"/>
      <c r="F258" s="26">
        <f>Source!AM118</f>
        <v>22.15</v>
      </c>
      <c r="G258" s="25" t="str">
        <f>Source!DE118</f>
        <v>*1,2</v>
      </c>
      <c r="H258" s="23">
        <f>Source!AV118</f>
        <v>1</v>
      </c>
      <c r="I258" s="26">
        <f>(ROUND((ROUND((((Source!ET118*1.2))*Source!AV118*Source!I118),2)),2)+ROUND((ROUND(((Source!AE118-((Source!EU118*1.2)))*Source!AV118*Source!I118),2)),2))</f>
        <v>26.58</v>
      </c>
      <c r="J258" s="23">
        <f>IF(Source!BB118&lt;&gt; 0, Source!BB118, 1)</f>
        <v>15.4</v>
      </c>
      <c r="K258" s="26">
        <f>Source!Q118</f>
        <v>409.33</v>
      </c>
    </row>
    <row r="259" spans="1:35" ht="14.25">
      <c r="A259" s="22"/>
      <c r="B259" s="22"/>
      <c r="C259" s="22" t="s">
        <v>494</v>
      </c>
      <c r="D259" s="24"/>
      <c r="E259" s="23"/>
      <c r="F259" s="26">
        <f>Source!AN118</f>
        <v>1.86</v>
      </c>
      <c r="G259" s="25" t="str">
        <f>Source!DF118</f>
        <v>*1,2</v>
      </c>
      <c r="H259" s="23">
        <f>Source!AV118</f>
        <v>1</v>
      </c>
      <c r="I259" s="34">
        <f>(ROUND((ROUND((((Source!EU118*1.2))*Source!AV118*Source!I118),2)),2)+ROUND((ROUND(((Source!AE118-((Source!EU118*1.2)))*Source!AV118*Source!I118),2)),2))</f>
        <v>2.23</v>
      </c>
      <c r="J259" s="23">
        <f>IF(Source!BS118&lt;&gt; 0, Source!BS118, 1)</f>
        <v>57.76</v>
      </c>
      <c r="K259" s="34">
        <f>Source!R118</f>
        <v>128.80000000000001</v>
      </c>
      <c r="W259">
        <f>I259</f>
        <v>2.23</v>
      </c>
    </row>
    <row r="260" spans="1:35" ht="14.25">
      <c r="A260" s="22"/>
      <c r="B260" s="22"/>
      <c r="C260" s="22" t="s">
        <v>495</v>
      </c>
      <c r="D260" s="24"/>
      <c r="E260" s="23"/>
      <c r="F260" s="26">
        <f>Source!AL118</f>
        <v>98.26</v>
      </c>
      <c r="G260" s="25" t="str">
        <f>Source!DD118</f>
        <v>*1</v>
      </c>
      <c r="H260" s="23">
        <f>Source!AW118</f>
        <v>1</v>
      </c>
      <c r="I260" s="26">
        <f>ROUND((ROUND((Source!AC118*Source!AW118*Source!I118),2)),2)</f>
        <v>98.26</v>
      </c>
      <c r="J260" s="23">
        <f>IF(Source!BC118&lt;&gt; 0, Source!BC118, 1)</f>
        <v>7.08</v>
      </c>
      <c r="K260" s="26">
        <f>Source!P118</f>
        <v>695.68</v>
      </c>
    </row>
    <row r="261" spans="1:35" ht="28.5">
      <c r="A261" s="22" t="s">
        <v>256</v>
      </c>
      <c r="B261" s="22" t="str">
        <f>Source!F119</f>
        <v>4863110000</v>
      </c>
      <c r="C261" s="22" t="s">
        <v>258</v>
      </c>
      <c r="D261" s="24" t="str">
        <f>Source!H119</f>
        <v>шт.</v>
      </c>
      <c r="E261" s="23">
        <f>Source!I119</f>
        <v>1</v>
      </c>
      <c r="F261" s="26">
        <f>Source!AK119</f>
        <v>0</v>
      </c>
      <c r="G261" s="35" t="s">
        <v>3</v>
      </c>
      <c r="H261" s="23">
        <f>Source!AW119</f>
        <v>1</v>
      </c>
      <c r="I261" s="26">
        <f>ROUND((ROUND((Source!AC119*Source!AW119*Source!I119),2)),2)+(ROUND((ROUND(((Source!ET119)*Source!AV119*Source!I119),2)),2)+ROUND((ROUND(((Source!AE119-(Source!EU119))*Source!AV119*Source!I119),2)),2))+ROUND((ROUND((Source!AF119*Source!AV119*Source!I119),2)),2)</f>
        <v>0</v>
      </c>
      <c r="J261" s="23">
        <f>IF(Source!BC119&lt;&gt; 0, Source!BC119, 1)</f>
        <v>1</v>
      </c>
      <c r="K261" s="26">
        <f>Source!O119</f>
        <v>0</v>
      </c>
      <c r="Q261">
        <f>ROUND((Source!BZ119/100)*(ROUND((ROUND((Source!AF119*Source!AV119*Source!I119),2)),2)+(ROUND((ROUND(((Source!EU119)*Source!AV119*Source!I119),2)),2)+ROUND((ROUND(((Source!AE119-(Source!EU119))*Source!AV119*Source!I119),2)),2))), 2)</f>
        <v>0</v>
      </c>
      <c r="R261">
        <f>Source!X119</f>
        <v>0</v>
      </c>
      <c r="S261">
        <f>ROUND((Source!CA119/100)*(ROUND((ROUND((Source!AF119*Source!AV119*Source!I119),2)),2)+(ROUND((ROUND(((Source!EU119)*Source!AV119*Source!I119),2)),2)+ROUND((ROUND(((Source!AE119-(Source!EU119))*Source!AV119*Source!I119),2)),2))), 2)</f>
        <v>0</v>
      </c>
      <c r="T261">
        <f>Source!Y119</f>
        <v>0</v>
      </c>
      <c r="U261">
        <f>ROUND((175/100)*((ROUND((ROUND(((Source!EU119)*Source!AV119*Source!I119),2)),2)+ROUND((ROUND(((Source!AE119-(Source!EU119))*Source!AV119*Source!I119),2)),2))), 2)</f>
        <v>0</v>
      </c>
      <c r="V261">
        <f>ROUND((0/100)*((ROUND((ROUND(((Source!EU119)*Source!AV119*Source!I119),2)*Source!BS119),2)+ROUND((ROUND(((Source!AE119-(Source!EU119))*Source!AV119*Source!I119),2)*Source!BS119),2))), 2)</f>
        <v>0</v>
      </c>
      <c r="X261">
        <f>IF(Source!BI119&lt;=1,I261, 0)</f>
        <v>0</v>
      </c>
      <c r="Y261">
        <f>IF(Source!BI119=2,I261, 0)</f>
        <v>0</v>
      </c>
      <c r="Z261">
        <f>IF(Source!BI119=3,I261, 0)</f>
        <v>0</v>
      </c>
      <c r="AA261">
        <f>IF(Source!BI119=4,I261, 0)</f>
        <v>0</v>
      </c>
      <c r="AI261">
        <v>3</v>
      </c>
    </row>
    <row r="262" spans="1:35" ht="14.25">
      <c r="A262" s="22"/>
      <c r="B262" s="22"/>
      <c r="C262" s="22" t="s">
        <v>487</v>
      </c>
      <c r="D262" s="24" t="s">
        <v>488</v>
      </c>
      <c r="E262" s="23">
        <f>Source!BZ118</f>
        <v>109</v>
      </c>
      <c r="F262" s="26"/>
      <c r="G262" s="25"/>
      <c r="H262" s="23"/>
      <c r="I262" s="26">
        <f>SUM(Q256:Q261)</f>
        <v>114.96</v>
      </c>
      <c r="J262" s="23">
        <f>Source!AT118</f>
        <v>109</v>
      </c>
      <c r="K262" s="26">
        <f>SUM(R256:R261)</f>
        <v>6640.21</v>
      </c>
    </row>
    <row r="263" spans="1:35" ht="14.25">
      <c r="A263" s="22"/>
      <c r="B263" s="22"/>
      <c r="C263" s="22" t="s">
        <v>489</v>
      </c>
      <c r="D263" s="24" t="s">
        <v>488</v>
      </c>
      <c r="E263" s="23">
        <f>Source!CA118</f>
        <v>61</v>
      </c>
      <c r="F263" s="26"/>
      <c r="G263" s="25"/>
      <c r="H263" s="23"/>
      <c r="I263" s="26">
        <f>SUM(S256:S262)</f>
        <v>64.34</v>
      </c>
      <c r="J263" s="23">
        <f>Source!AU118</f>
        <v>61</v>
      </c>
      <c r="K263" s="26">
        <f>SUM(T256:T262)</f>
        <v>3716.08</v>
      </c>
    </row>
    <row r="264" spans="1:35" ht="14.25">
      <c r="A264" s="28"/>
      <c r="B264" s="28"/>
      <c r="C264" s="28" t="s">
        <v>490</v>
      </c>
      <c r="D264" s="29" t="s">
        <v>491</v>
      </c>
      <c r="E264" s="30">
        <f>Source!AQ118</f>
        <v>7.5</v>
      </c>
      <c r="F264" s="31"/>
      <c r="G264" s="32" t="str">
        <f>Source!DI118</f>
        <v>*1,2</v>
      </c>
      <c r="H264" s="30">
        <f>Source!AV118</f>
        <v>1</v>
      </c>
      <c r="I264" s="31">
        <f>Source!U118</f>
        <v>9</v>
      </c>
      <c r="J264" s="30"/>
      <c r="K264" s="31"/>
      <c r="AB264" s="27">
        <f>I264</f>
        <v>9</v>
      </c>
    </row>
    <row r="265" spans="1:35" ht="15">
      <c r="C265" s="33" t="s">
        <v>492</v>
      </c>
      <c r="H265" s="69">
        <f>I257+I258+I260+I262+I263+SUM(I261:I261)-SUMIF(AI261:AI261, 5, I261:I261)-SUMIF(AI261:AI261, 6, I261:I261)</f>
        <v>407.38</v>
      </c>
      <c r="I265" s="69"/>
      <c r="J265" s="69">
        <f>K257+K258+K260+K262+K263+SUM(K261:K261)-SUMIF(AI261:AI261, 5, K261:K261)-SUMIF(AI261:AI261, 6, K261:K261)</f>
        <v>17424.440000000002</v>
      </c>
      <c r="K265" s="69"/>
    </row>
    <row r="266" spans="1:35" ht="15" hidden="1">
      <c r="C266" s="33" t="s">
        <v>493</v>
      </c>
      <c r="H266" s="68">
        <f>SUMIF(AI261:AI261, 5, I261:I261)+SUMIF(AI261:AI261, 6, I261:I261)</f>
        <v>0</v>
      </c>
      <c r="I266" s="68"/>
      <c r="J266" s="68">
        <f>SUMIF(AI261:AI261, 5, K261:K261)+SUMIF(AI261:AI261, 6, K261:K261)</f>
        <v>0</v>
      </c>
      <c r="K266" s="68"/>
    </row>
    <row r="267" spans="1:35" ht="15">
      <c r="H267" s="68"/>
      <c r="I267" s="68"/>
      <c r="J267" s="68"/>
      <c r="K267" s="68"/>
      <c r="O267" s="27">
        <f>I257+I258+I260+I262+I263+SUM(I261:I261)</f>
        <v>407.38</v>
      </c>
      <c r="P267" s="27">
        <f>K257+K258+K260+K262+K263+SUM(K261:K261)</f>
        <v>17424.440000000002</v>
      </c>
      <c r="X267">
        <f>IF(Source!BI118&lt;=1,I257+I258+I260+I262+I263-0, 0)</f>
        <v>407.38</v>
      </c>
      <c r="Y267">
        <f>IF(Source!BI118=2,I257+I258+I260+I262+I263-0, 0)</f>
        <v>0</v>
      </c>
      <c r="Z267">
        <f>IF(Source!BI118=3,I257+I258+I260+I262+I263-0, 0)</f>
        <v>0</v>
      </c>
      <c r="AA267">
        <f>IF(Source!BI118=4,I257+I258+I260+I262+I263,0)</f>
        <v>0</v>
      </c>
    </row>
    <row r="269" spans="1:35" ht="42.75">
      <c r="A269" s="28">
        <v>24</v>
      </c>
      <c r="B269" s="28" t="str">
        <f>Source!F120</f>
        <v>Цена поставщика</v>
      </c>
      <c r="C269" s="28" t="s">
        <v>505</v>
      </c>
      <c r="D269" s="29" t="str">
        <f>Source!H120</f>
        <v>шт.</v>
      </c>
      <c r="E269" s="30">
        <f>Source!I120</f>
        <v>1</v>
      </c>
      <c r="F269" s="31">
        <f>Source!AL120</f>
        <v>18142.12</v>
      </c>
      <c r="G269" s="32" t="str">
        <f>Source!DD120</f>
        <v/>
      </c>
      <c r="H269" s="30">
        <f>Source!AW120</f>
        <v>1</v>
      </c>
      <c r="I269" s="31">
        <f>ROUND((ROUND((Source!AC120*Source!I120),2)),2)</f>
        <v>18142.12</v>
      </c>
      <c r="J269" s="30">
        <f>IF(Source!BC120&lt;&gt; 0, Source!BC120, 1)</f>
        <v>1</v>
      </c>
      <c r="K269" s="31">
        <f>Source!P120</f>
        <v>18142.12</v>
      </c>
      <c r="Q269">
        <f>ROUND((Source!BZ120/100)*(ROUND((ROUND((Source!AF120*Source!AV120*Source!I120),2)),2)+(ROUND((ROUND(((Source!EU120)*Source!AV120*Source!I120),2)),2)+ROUND((ROUND(((Source!AE120-(Source!EU120))*Source!AV120*Source!I120),2)),2))), 2)</f>
        <v>0</v>
      </c>
      <c r="R269">
        <f>Source!X120</f>
        <v>0</v>
      </c>
      <c r="S269">
        <f>ROUND((Source!CA120/100)*(ROUND((ROUND((Source!AF120*Source!AV120*Source!I120),2)),2)+(ROUND((ROUND(((Source!EU120)*Source!AV120*Source!I120),2)),2)+ROUND((ROUND(((Source!AE120-(Source!EU120))*Source!AV120*Source!I120),2)),2))), 2)</f>
        <v>0</v>
      </c>
      <c r="T269">
        <f>Source!Y120</f>
        <v>0</v>
      </c>
      <c r="U269">
        <f>ROUND((175/100)*((ROUND((ROUND(((Source!EU120)*Source!AV120*Source!I120),2)),2)+ROUND((ROUND(((Source!AE120-(Source!EU120))*Source!AV120*Source!I120),2)),2))), 2)</f>
        <v>0</v>
      </c>
      <c r="V269">
        <f>ROUND((0/100)*((ROUND((ROUND(((Source!EU120)*Source!AV120*Source!I120),2)*Source!BS120),2)+ROUND((ROUND(((Source!AE120-(Source!EU120))*Source!AV120*Source!I120),2)*Source!BS120),2))), 2)</f>
        <v>0</v>
      </c>
      <c r="AI269">
        <v>5</v>
      </c>
    </row>
    <row r="270" spans="1:35" ht="15">
      <c r="C270" s="33" t="s">
        <v>497</v>
      </c>
      <c r="H270" s="69">
        <f>I269+0</f>
        <v>18142.12</v>
      </c>
      <c r="I270" s="69"/>
      <c r="J270" s="69">
        <f>K269+0</f>
        <v>18142.12</v>
      </c>
      <c r="K270" s="69"/>
      <c r="O270" s="27">
        <f>I269+0</f>
        <v>18142.12</v>
      </c>
      <c r="P270" s="27">
        <f>K269+0</f>
        <v>18142.12</v>
      </c>
      <c r="X270">
        <f>IF(Source!BI120&lt;=1,I269-0, 0)</f>
        <v>0</v>
      </c>
      <c r="Y270">
        <f>IF(Source!BI120=2,I269-0, 0)</f>
        <v>0</v>
      </c>
      <c r="Z270">
        <f>IF(Source!BI120=3,I269-0, 0)</f>
        <v>18142.12</v>
      </c>
      <c r="AA270">
        <f>IF(Source!BI120=4,I269,0)</f>
        <v>0</v>
      </c>
    </row>
    <row r="272" spans="1:35" ht="57">
      <c r="A272" s="22">
        <v>25</v>
      </c>
      <c r="B272" s="22" t="str">
        <f>Source!F121</f>
        <v>5.1-20-4</v>
      </c>
      <c r="C272" s="22" t="s">
        <v>111</v>
      </c>
      <c r="D272" s="24" t="str">
        <f>Source!H121</f>
        <v>1  ШТ.</v>
      </c>
      <c r="E272" s="23">
        <f>Source!I121</f>
        <v>1</v>
      </c>
      <c r="F272" s="26"/>
      <c r="G272" s="25"/>
      <c r="H272" s="23"/>
      <c r="I272" s="26"/>
      <c r="J272" s="23"/>
      <c r="K272" s="26"/>
      <c r="Q272">
        <f>ROUND((Source!BZ121/100)*(ROUND((ROUND((Source!AF121*Source!AV121*Source!I121),2)),2)+(ROUND((ROUND(((Source!EU121)*Source!AV121*Source!I121),2)),2)+ROUND((ROUND(((Source!AE121-(Source!EU121))*Source!AV121*Source!I121),2)),2))), 2)</f>
        <v>13.11</v>
      </c>
      <c r="R272">
        <f>Source!X121</f>
        <v>756.97</v>
      </c>
      <c r="S272">
        <f>ROUND((Source!CA121/100)*(ROUND((ROUND((Source!AF121*Source!AV121*Source!I121),2)),2)+(ROUND((ROUND(((Source!EU121)*Source!AV121*Source!I121),2)),2)+ROUND((ROUND(((Source!AE121-(Source!EU121))*Source!AV121*Source!I121),2)),2))), 2)</f>
        <v>6.38</v>
      </c>
      <c r="T272">
        <f>Source!Y121</f>
        <v>368.25</v>
      </c>
      <c r="U272">
        <f>ROUND((175/100)*((ROUND((ROUND(((Source!EU121)*Source!AV121*Source!I121),2)),2)+ROUND((ROUND(((Source!AE121-(Source!EU121))*Source!AV121*Source!I121),2)),2))), 2)</f>
        <v>0</v>
      </c>
      <c r="V272">
        <f>ROUND((0/100)*((ROUND((ROUND(((Source!EU121)*Source!AV121*Source!I121),2)*Source!BS121),2)+ROUND((ROUND(((Source!AE121-(Source!EU121))*Source!AV121*Source!I121),2)*Source!BS121),2))), 2)</f>
        <v>0</v>
      </c>
      <c r="AI272">
        <v>0</v>
      </c>
    </row>
    <row r="273" spans="1:35" ht="14.25">
      <c r="A273" s="22"/>
      <c r="B273" s="22"/>
      <c r="C273" s="22" t="s">
        <v>485</v>
      </c>
      <c r="D273" s="24"/>
      <c r="E273" s="23"/>
      <c r="F273" s="26">
        <f>Source!AO121</f>
        <v>17.71</v>
      </c>
      <c r="G273" s="25" t="str">
        <f>Source!DG121</f>
        <v/>
      </c>
      <c r="H273" s="23">
        <f>Source!AV121</f>
        <v>1</v>
      </c>
      <c r="I273" s="26">
        <f>ROUND((ROUND((Source!AF121*Source!AV121*Source!I121),2)),2)</f>
        <v>17.71</v>
      </c>
      <c r="J273" s="23">
        <f>IF(Source!BA121&lt;&gt; 0, Source!BA121, 1)</f>
        <v>57.76</v>
      </c>
      <c r="K273" s="26">
        <f>Source!S121</f>
        <v>1022.93</v>
      </c>
      <c r="W273">
        <f>I273</f>
        <v>17.71</v>
      </c>
    </row>
    <row r="274" spans="1:35" ht="14.25">
      <c r="A274" s="22"/>
      <c r="B274" s="22"/>
      <c r="C274" s="22" t="s">
        <v>487</v>
      </c>
      <c r="D274" s="24" t="s">
        <v>488</v>
      </c>
      <c r="E274" s="23">
        <f>Source!BZ121</f>
        <v>74</v>
      </c>
      <c r="F274" s="26"/>
      <c r="G274" s="25"/>
      <c r="H274" s="23"/>
      <c r="I274" s="26">
        <f>SUM(Q272:Q273)</f>
        <v>13.11</v>
      </c>
      <c r="J274" s="23">
        <f>Source!AT121</f>
        <v>74</v>
      </c>
      <c r="K274" s="26">
        <f>SUM(R272:R273)</f>
        <v>756.97</v>
      </c>
    </row>
    <row r="275" spans="1:35" ht="14.25">
      <c r="A275" s="22"/>
      <c r="B275" s="22"/>
      <c r="C275" s="22" t="s">
        <v>489</v>
      </c>
      <c r="D275" s="24" t="s">
        <v>488</v>
      </c>
      <c r="E275" s="23">
        <f>Source!CA121</f>
        <v>36</v>
      </c>
      <c r="F275" s="26"/>
      <c r="G275" s="25"/>
      <c r="H275" s="23"/>
      <c r="I275" s="26">
        <f>SUM(S272:S274)</f>
        <v>6.38</v>
      </c>
      <c r="J275" s="23">
        <f>Source!AU121</f>
        <v>36</v>
      </c>
      <c r="K275" s="26">
        <f>SUM(T272:T274)</f>
        <v>368.25</v>
      </c>
    </row>
    <row r="276" spans="1:35" ht="14.25">
      <c r="A276" s="28"/>
      <c r="B276" s="28"/>
      <c r="C276" s="28" t="s">
        <v>490</v>
      </c>
      <c r="D276" s="29" t="s">
        <v>491</v>
      </c>
      <c r="E276" s="30">
        <f>Source!AQ121</f>
        <v>1.44</v>
      </c>
      <c r="F276" s="31"/>
      <c r="G276" s="32" t="str">
        <f>Source!DI121</f>
        <v/>
      </c>
      <c r="H276" s="30">
        <f>Source!AV121</f>
        <v>1</v>
      </c>
      <c r="I276" s="31">
        <f>Source!U121</f>
        <v>1.44</v>
      </c>
      <c r="J276" s="30"/>
      <c r="K276" s="31"/>
      <c r="AB276" s="27">
        <f>I276</f>
        <v>1.44</v>
      </c>
    </row>
    <row r="277" spans="1:35" ht="15">
      <c r="C277" s="33" t="s">
        <v>492</v>
      </c>
      <c r="H277" s="69">
        <f>I273+I274+I275+0-0-0</f>
        <v>37.200000000000003</v>
      </c>
      <c r="I277" s="69"/>
      <c r="J277" s="69">
        <f>K273+K274+K275+0-0-0</f>
        <v>2148.15</v>
      </c>
      <c r="K277" s="69"/>
    </row>
    <row r="278" spans="1:35" ht="15" hidden="1">
      <c r="C278" s="33" t="s">
        <v>493</v>
      </c>
      <c r="H278" s="68">
        <f>0+0</f>
        <v>0</v>
      </c>
      <c r="I278" s="68"/>
      <c r="J278" s="68">
        <f>0+0</f>
        <v>0</v>
      </c>
      <c r="K278" s="68"/>
    </row>
    <row r="279" spans="1:35" ht="15">
      <c r="H279" s="68"/>
      <c r="I279" s="68"/>
      <c r="J279" s="68"/>
      <c r="K279" s="68"/>
      <c r="O279" s="27">
        <f>I273+I274+I275+0</f>
        <v>37.200000000000003</v>
      </c>
      <c r="P279" s="27">
        <f>K273+K274+K275+0</f>
        <v>2148.15</v>
      </c>
      <c r="X279">
        <f>IF(Source!BI121&lt;=1,I273+I274+I275-0, 0)</f>
        <v>0</v>
      </c>
      <c r="Y279">
        <f>IF(Source!BI121=2,I273+I274+I275-0, 0)</f>
        <v>0</v>
      </c>
      <c r="Z279">
        <f>IF(Source!BI121=3,I273+I274+I275-0, 0)</f>
        <v>0</v>
      </c>
      <c r="AA279">
        <f>IF(Source!BI121=4,I273+I274+I275,0)</f>
        <v>37.200000000000003</v>
      </c>
    </row>
    <row r="281" spans="1:35" ht="99.75">
      <c r="A281" s="22">
        <v>26</v>
      </c>
      <c r="B281" s="22" t="str">
        <f>Source!F122</f>
        <v>5.1-162-1</v>
      </c>
      <c r="C281" s="22" t="s">
        <v>118</v>
      </c>
      <c r="D281" s="24" t="str">
        <f>Source!H122</f>
        <v>1 измерение</v>
      </c>
      <c r="E281" s="23">
        <f>Source!I122</f>
        <v>3</v>
      </c>
      <c r="F281" s="26"/>
      <c r="G281" s="25"/>
      <c r="H281" s="23"/>
      <c r="I281" s="26"/>
      <c r="J281" s="23"/>
      <c r="K281" s="26"/>
      <c r="Q281">
        <f>ROUND((Source!BZ122/100)*(ROUND((ROUND((Source!AF122*Source!AV122*Source!I122),2)),2)+(ROUND((ROUND(((Source!EU122)*Source!AV122*Source!I122),2)),2)+ROUND((ROUND(((Source!AE122-(Source!EU122))*Source!AV122*Source!I122),2)),2))), 2)</f>
        <v>10.119999999999999</v>
      </c>
      <c r="R281">
        <f>Source!X122</f>
        <v>584.72</v>
      </c>
      <c r="S281">
        <f>ROUND((Source!CA122/100)*(ROUND((ROUND((Source!AF122*Source!AV122*Source!I122),2)),2)+(ROUND((ROUND(((Source!EU122)*Source!AV122*Source!I122),2)),2)+ROUND((ROUND(((Source!AE122-(Source!EU122))*Source!AV122*Source!I122),2)),2))), 2)</f>
        <v>4.92</v>
      </c>
      <c r="T281">
        <f>Source!Y122</f>
        <v>284.45999999999998</v>
      </c>
      <c r="U281">
        <f>ROUND((175/100)*((ROUND((ROUND(((Source!EU122)*Source!AV122*Source!I122),2)),2)+ROUND((ROUND(((Source!AE122-(Source!EU122))*Source!AV122*Source!I122),2)),2))), 2)</f>
        <v>0</v>
      </c>
      <c r="V281">
        <f>ROUND((0/100)*((ROUND((ROUND(((Source!EU122)*Source!AV122*Source!I122),2)*Source!BS122),2)+ROUND((ROUND(((Source!AE122-(Source!EU122))*Source!AV122*Source!I122),2)*Source!BS122),2))), 2)</f>
        <v>0</v>
      </c>
      <c r="AI281">
        <v>0</v>
      </c>
    </row>
    <row r="282" spans="1:35" ht="14.25">
      <c r="A282" s="22"/>
      <c r="B282" s="22"/>
      <c r="C282" s="22" t="s">
        <v>485</v>
      </c>
      <c r="D282" s="24"/>
      <c r="E282" s="23"/>
      <c r="F282" s="26">
        <f>Source!AO122</f>
        <v>4.5599999999999996</v>
      </c>
      <c r="G282" s="25" t="str">
        <f>Source!DG122</f>
        <v/>
      </c>
      <c r="H282" s="23">
        <f>Source!AV122</f>
        <v>1</v>
      </c>
      <c r="I282" s="26">
        <f>ROUND((ROUND((Source!AF122*Source!AV122*Source!I122),2)),2)</f>
        <v>13.68</v>
      </c>
      <c r="J282" s="23">
        <f>IF(Source!BA122&lt;&gt; 0, Source!BA122, 1)</f>
        <v>57.76</v>
      </c>
      <c r="K282" s="26">
        <f>Source!S122</f>
        <v>790.16</v>
      </c>
      <c r="W282">
        <f>I282</f>
        <v>13.68</v>
      </c>
    </row>
    <row r="283" spans="1:35" ht="14.25">
      <c r="A283" s="22"/>
      <c r="B283" s="22"/>
      <c r="C283" s="22" t="s">
        <v>487</v>
      </c>
      <c r="D283" s="24" t="s">
        <v>488</v>
      </c>
      <c r="E283" s="23">
        <f>Source!BZ122</f>
        <v>74</v>
      </c>
      <c r="F283" s="26"/>
      <c r="G283" s="25"/>
      <c r="H283" s="23"/>
      <c r="I283" s="26">
        <f>SUM(Q281:Q282)</f>
        <v>10.119999999999999</v>
      </c>
      <c r="J283" s="23">
        <f>Source!AT122</f>
        <v>74</v>
      </c>
      <c r="K283" s="26">
        <f>SUM(R281:R282)</f>
        <v>584.72</v>
      </c>
    </row>
    <row r="284" spans="1:35" ht="14.25">
      <c r="A284" s="22"/>
      <c r="B284" s="22"/>
      <c r="C284" s="22" t="s">
        <v>489</v>
      </c>
      <c r="D284" s="24" t="s">
        <v>488</v>
      </c>
      <c r="E284" s="23">
        <f>Source!CA122</f>
        <v>36</v>
      </c>
      <c r="F284" s="26"/>
      <c r="G284" s="25"/>
      <c r="H284" s="23"/>
      <c r="I284" s="26">
        <f>SUM(S281:S283)</f>
        <v>4.92</v>
      </c>
      <c r="J284" s="23">
        <f>Source!AU122</f>
        <v>36</v>
      </c>
      <c r="K284" s="26">
        <f>SUM(T281:T283)</f>
        <v>284.45999999999998</v>
      </c>
    </row>
    <row r="285" spans="1:35" ht="14.25">
      <c r="A285" s="28"/>
      <c r="B285" s="28"/>
      <c r="C285" s="28" t="s">
        <v>490</v>
      </c>
      <c r="D285" s="29" t="s">
        <v>491</v>
      </c>
      <c r="E285" s="30">
        <f>Source!AQ122</f>
        <v>0.28999999999999998</v>
      </c>
      <c r="F285" s="31"/>
      <c r="G285" s="32" t="str">
        <f>Source!DI122</f>
        <v/>
      </c>
      <c r="H285" s="30">
        <f>Source!AV122</f>
        <v>1</v>
      </c>
      <c r="I285" s="31">
        <f>Source!U122</f>
        <v>0.86999999999999988</v>
      </c>
      <c r="J285" s="30"/>
      <c r="K285" s="31"/>
      <c r="AB285" s="27">
        <f>I285</f>
        <v>0.86999999999999988</v>
      </c>
    </row>
    <row r="286" spans="1:35" ht="15">
      <c r="C286" s="33" t="s">
        <v>492</v>
      </c>
      <c r="H286" s="69">
        <f>I282+I283+I284+0-0-0</f>
        <v>28.72</v>
      </c>
      <c r="I286" s="69"/>
      <c r="J286" s="69">
        <f>K282+K283+K284+0-0-0</f>
        <v>1659.3400000000001</v>
      </c>
      <c r="K286" s="69"/>
    </row>
    <row r="287" spans="1:35" ht="15" hidden="1">
      <c r="C287" s="33" t="s">
        <v>493</v>
      </c>
      <c r="H287" s="68">
        <f>0+0</f>
        <v>0</v>
      </c>
      <c r="I287" s="68"/>
      <c r="J287" s="68">
        <f>0+0</f>
        <v>0</v>
      </c>
      <c r="K287" s="68"/>
    </row>
    <row r="288" spans="1:35" ht="15">
      <c r="H288" s="68"/>
      <c r="I288" s="68"/>
      <c r="J288" s="68"/>
      <c r="K288" s="68"/>
      <c r="O288" s="27">
        <f>I282+I283+I284+0</f>
        <v>28.72</v>
      </c>
      <c r="P288" s="27">
        <f>K282+K283+K284+0</f>
        <v>1659.3400000000001</v>
      </c>
      <c r="X288">
        <f>IF(Source!BI122&lt;=1,I282+I283+I284-0, 0)</f>
        <v>0</v>
      </c>
      <c r="Y288">
        <f>IF(Source!BI122=2,I282+I283+I284-0, 0)</f>
        <v>0</v>
      </c>
      <c r="Z288">
        <f>IF(Source!BI122=3,I282+I283+I284-0, 0)</f>
        <v>0</v>
      </c>
      <c r="AA288">
        <f>IF(Source!BI122=4,I282+I283+I284,0)</f>
        <v>28.72</v>
      </c>
    </row>
    <row r="290" spans="1:35" ht="42.75">
      <c r="A290" s="22">
        <v>27</v>
      </c>
      <c r="B290" s="22" t="str">
        <f>Source!F123</f>
        <v>5.1-152-1</v>
      </c>
      <c r="C290" s="22" t="s">
        <v>123</v>
      </c>
      <c r="D290" s="24" t="str">
        <f>Source!H123</f>
        <v>1 ТОЧКА</v>
      </c>
      <c r="E290" s="23">
        <f>Source!I123</f>
        <v>2</v>
      </c>
      <c r="F290" s="26"/>
      <c r="G290" s="25"/>
      <c r="H290" s="23"/>
      <c r="I290" s="26"/>
      <c r="J290" s="23"/>
      <c r="K290" s="26"/>
      <c r="Q290">
        <f>ROUND((Source!BZ123/100)*(ROUND((ROUND((Source!AF123*Source!AV123*Source!I123),2)),2)+(ROUND((ROUND(((Source!EU123)*Source!AV123*Source!I123),2)),2)+ROUND((ROUND(((Source!AE123-(Source!EU123))*Source!AV123*Source!I123),2)),2))), 2)</f>
        <v>2.81</v>
      </c>
      <c r="R290">
        <f>Source!X123</f>
        <v>162.41999999999999</v>
      </c>
      <c r="S290">
        <f>ROUND((Source!CA123/100)*(ROUND((ROUND((Source!AF123*Source!AV123*Source!I123),2)),2)+(ROUND((ROUND(((Source!EU123)*Source!AV123*Source!I123),2)),2)+ROUND((ROUND(((Source!AE123-(Source!EU123))*Source!AV123*Source!I123),2)),2))), 2)</f>
        <v>1.37</v>
      </c>
      <c r="T290">
        <f>Source!Y123</f>
        <v>79.02</v>
      </c>
      <c r="U290">
        <f>ROUND((175/100)*((ROUND((ROUND(((Source!EU123)*Source!AV123*Source!I123),2)),2)+ROUND((ROUND(((Source!AE123-(Source!EU123))*Source!AV123*Source!I123),2)),2))), 2)</f>
        <v>0</v>
      </c>
      <c r="V290">
        <f>ROUND((0/100)*((ROUND((ROUND(((Source!EU123)*Source!AV123*Source!I123),2)*Source!BS123),2)+ROUND((ROUND(((Source!AE123-(Source!EU123))*Source!AV123*Source!I123),2)*Source!BS123),2))), 2)</f>
        <v>0</v>
      </c>
      <c r="AI290">
        <v>0</v>
      </c>
    </row>
    <row r="291" spans="1:35" ht="14.25">
      <c r="A291" s="22"/>
      <c r="B291" s="22"/>
      <c r="C291" s="22" t="s">
        <v>485</v>
      </c>
      <c r="D291" s="24"/>
      <c r="E291" s="23"/>
      <c r="F291" s="26">
        <f>Source!AO123</f>
        <v>1.9</v>
      </c>
      <c r="G291" s="25" t="str">
        <f>Source!DG123</f>
        <v/>
      </c>
      <c r="H291" s="23">
        <f>Source!AV123</f>
        <v>1</v>
      </c>
      <c r="I291" s="26">
        <f>ROUND((ROUND((Source!AF123*Source!AV123*Source!I123),2)),2)</f>
        <v>3.8</v>
      </c>
      <c r="J291" s="23">
        <f>IF(Source!BA123&lt;&gt; 0, Source!BA123, 1)</f>
        <v>57.76</v>
      </c>
      <c r="K291" s="26">
        <f>Source!S123</f>
        <v>219.49</v>
      </c>
      <c r="W291">
        <f>I291</f>
        <v>3.8</v>
      </c>
    </row>
    <row r="292" spans="1:35" ht="14.25">
      <c r="A292" s="22"/>
      <c r="B292" s="22"/>
      <c r="C292" s="22" t="s">
        <v>487</v>
      </c>
      <c r="D292" s="24" t="s">
        <v>488</v>
      </c>
      <c r="E292" s="23">
        <f>Source!BZ123</f>
        <v>74</v>
      </c>
      <c r="F292" s="26"/>
      <c r="G292" s="25"/>
      <c r="H292" s="23"/>
      <c r="I292" s="26">
        <f>SUM(Q290:Q291)</f>
        <v>2.81</v>
      </c>
      <c r="J292" s="23">
        <f>Source!AT123</f>
        <v>74</v>
      </c>
      <c r="K292" s="26">
        <f>SUM(R290:R291)</f>
        <v>162.41999999999999</v>
      </c>
    </row>
    <row r="293" spans="1:35" ht="14.25">
      <c r="A293" s="22"/>
      <c r="B293" s="22"/>
      <c r="C293" s="22" t="s">
        <v>489</v>
      </c>
      <c r="D293" s="24" t="s">
        <v>488</v>
      </c>
      <c r="E293" s="23">
        <f>Source!CA123</f>
        <v>36</v>
      </c>
      <c r="F293" s="26"/>
      <c r="G293" s="25"/>
      <c r="H293" s="23"/>
      <c r="I293" s="26">
        <f>SUM(S290:S292)</f>
        <v>1.37</v>
      </c>
      <c r="J293" s="23">
        <f>Source!AU123</f>
        <v>36</v>
      </c>
      <c r="K293" s="26">
        <f>SUM(T290:T292)</f>
        <v>79.02</v>
      </c>
    </row>
    <row r="294" spans="1:35" ht="14.25">
      <c r="A294" s="28"/>
      <c r="B294" s="28"/>
      <c r="C294" s="28" t="s">
        <v>490</v>
      </c>
      <c r="D294" s="29" t="s">
        <v>491</v>
      </c>
      <c r="E294" s="30">
        <f>Source!AQ123</f>
        <v>0.12</v>
      </c>
      <c r="F294" s="31"/>
      <c r="G294" s="32" t="str">
        <f>Source!DI123</f>
        <v/>
      </c>
      <c r="H294" s="30">
        <f>Source!AV123</f>
        <v>1</v>
      </c>
      <c r="I294" s="31">
        <f>Source!U123</f>
        <v>0.24</v>
      </c>
      <c r="J294" s="30"/>
      <c r="K294" s="31"/>
      <c r="AB294" s="27">
        <f>I294</f>
        <v>0.24</v>
      </c>
    </row>
    <row r="295" spans="1:35" ht="15">
      <c r="C295" s="33" t="s">
        <v>492</v>
      </c>
      <c r="H295" s="69">
        <f>I291+I292+I293+0-0-0</f>
        <v>7.9799999999999995</v>
      </c>
      <c r="I295" s="69"/>
      <c r="J295" s="69">
        <f>K291+K292+K293+0-0-0</f>
        <v>460.92999999999995</v>
      </c>
      <c r="K295" s="69"/>
    </row>
    <row r="296" spans="1:35" ht="15" hidden="1">
      <c r="C296" s="33" t="s">
        <v>493</v>
      </c>
      <c r="H296" s="68">
        <f>0+0</f>
        <v>0</v>
      </c>
      <c r="I296" s="68"/>
      <c r="J296" s="68">
        <f>0+0</f>
        <v>0</v>
      </c>
      <c r="K296" s="68"/>
    </row>
    <row r="297" spans="1:35" ht="15">
      <c r="H297" s="68"/>
      <c r="I297" s="68"/>
      <c r="J297" s="68"/>
      <c r="K297" s="68"/>
      <c r="O297" s="27">
        <f>I291+I292+I293+0</f>
        <v>7.9799999999999995</v>
      </c>
      <c r="P297" s="27">
        <f>K291+K292+K293+0</f>
        <v>460.92999999999995</v>
      </c>
      <c r="X297">
        <f>IF(Source!BI123&lt;=1,I291+I292+I293-0, 0)</f>
        <v>0</v>
      </c>
      <c r="Y297">
        <f>IF(Source!BI123=2,I291+I292+I293-0, 0)</f>
        <v>0</v>
      </c>
      <c r="Z297">
        <f>IF(Source!BI123=3,I291+I292+I293-0, 0)</f>
        <v>0</v>
      </c>
      <c r="AA297">
        <f>IF(Source!BI123=4,I291+I292+I293,0)</f>
        <v>7.9799999999999995</v>
      </c>
    </row>
    <row r="299" spans="1:35" ht="57">
      <c r="A299" s="22">
        <v>28</v>
      </c>
      <c r="B299" s="22" t="str">
        <f>Source!F124</f>
        <v>5.1-155-1</v>
      </c>
      <c r="C299" s="22" t="s">
        <v>128</v>
      </c>
      <c r="D299" s="24" t="str">
        <f>Source!H124</f>
        <v>1 точка прикосновения</v>
      </c>
      <c r="E299" s="23">
        <f>Source!I124</f>
        <v>1</v>
      </c>
      <c r="F299" s="26"/>
      <c r="G299" s="25"/>
      <c r="H299" s="23"/>
      <c r="I299" s="26"/>
      <c r="J299" s="23"/>
      <c r="K299" s="26"/>
      <c r="Q299">
        <f>ROUND((Source!BZ124/100)*(ROUND((ROUND((Source!AF124*Source!AV124*Source!I124),2)),2)+(ROUND((ROUND(((Source!EU124)*Source!AV124*Source!I124),2)),2)+ROUND((ROUND(((Source!AE124-(Source!EU124))*Source!AV124*Source!I124),2)),2))), 2)</f>
        <v>131.16999999999999</v>
      </c>
      <c r="R299">
        <f>Source!X124</f>
        <v>7576.52</v>
      </c>
      <c r="S299">
        <f>ROUND((Source!CA124/100)*(ROUND((ROUND((Source!AF124*Source!AV124*Source!I124),2)),2)+(ROUND((ROUND(((Source!EU124)*Source!AV124*Source!I124),2)),2)+ROUND((ROUND(((Source!AE124-(Source!EU124))*Source!AV124*Source!I124),2)),2))), 2)</f>
        <v>63.81</v>
      </c>
      <c r="T299">
        <f>Source!Y124</f>
        <v>3685.87</v>
      </c>
      <c r="U299">
        <f>ROUND((175/100)*((ROUND((ROUND(((Source!EU124)*Source!AV124*Source!I124),2)),2)+ROUND((ROUND(((Source!AE124-(Source!EU124))*Source!AV124*Source!I124),2)),2))), 2)</f>
        <v>0</v>
      </c>
      <c r="V299">
        <f>ROUND((0/100)*((ROUND((ROUND(((Source!EU124)*Source!AV124*Source!I124),2)*Source!BS124),2)+ROUND((ROUND(((Source!AE124-(Source!EU124))*Source!AV124*Source!I124),2)*Source!BS124),2))), 2)</f>
        <v>0</v>
      </c>
      <c r="AI299">
        <v>0</v>
      </c>
    </row>
    <row r="300" spans="1:35" ht="14.25">
      <c r="A300" s="22"/>
      <c r="B300" s="22"/>
      <c r="C300" s="22" t="s">
        <v>485</v>
      </c>
      <c r="D300" s="24"/>
      <c r="E300" s="23"/>
      <c r="F300" s="26">
        <f>Source!AO124</f>
        <v>177.26</v>
      </c>
      <c r="G300" s="25" t="str">
        <f>Source!DG124</f>
        <v/>
      </c>
      <c r="H300" s="23">
        <f>Source!AV124</f>
        <v>1</v>
      </c>
      <c r="I300" s="26">
        <f>ROUND((ROUND((Source!AF124*Source!AV124*Source!I124),2)),2)</f>
        <v>177.26</v>
      </c>
      <c r="J300" s="23">
        <f>IF(Source!BA124&lt;&gt; 0, Source!BA124, 1)</f>
        <v>57.76</v>
      </c>
      <c r="K300" s="26">
        <f>Source!S124</f>
        <v>10238.540000000001</v>
      </c>
      <c r="W300">
        <f>I300</f>
        <v>177.26</v>
      </c>
    </row>
    <row r="301" spans="1:35" ht="14.25">
      <c r="A301" s="22"/>
      <c r="B301" s="22"/>
      <c r="C301" s="22" t="s">
        <v>487</v>
      </c>
      <c r="D301" s="24" t="s">
        <v>488</v>
      </c>
      <c r="E301" s="23">
        <f>Source!BZ124</f>
        <v>74</v>
      </c>
      <c r="F301" s="26"/>
      <c r="G301" s="25"/>
      <c r="H301" s="23"/>
      <c r="I301" s="26">
        <f>SUM(Q299:Q300)</f>
        <v>131.16999999999999</v>
      </c>
      <c r="J301" s="23">
        <f>Source!AT124</f>
        <v>74</v>
      </c>
      <c r="K301" s="26">
        <f>SUM(R299:R300)</f>
        <v>7576.52</v>
      </c>
    </row>
    <row r="302" spans="1:35" ht="14.25">
      <c r="A302" s="22"/>
      <c r="B302" s="22"/>
      <c r="C302" s="22" t="s">
        <v>489</v>
      </c>
      <c r="D302" s="24" t="s">
        <v>488</v>
      </c>
      <c r="E302" s="23">
        <f>Source!CA124</f>
        <v>36</v>
      </c>
      <c r="F302" s="26"/>
      <c r="G302" s="25"/>
      <c r="H302" s="23"/>
      <c r="I302" s="26">
        <f>SUM(S299:S301)</f>
        <v>63.81</v>
      </c>
      <c r="J302" s="23">
        <f>Source!AU124</f>
        <v>36</v>
      </c>
      <c r="K302" s="26">
        <f>SUM(T299:T301)</f>
        <v>3685.87</v>
      </c>
    </row>
    <row r="303" spans="1:35" ht="14.25">
      <c r="A303" s="28"/>
      <c r="B303" s="28"/>
      <c r="C303" s="28" t="s">
        <v>490</v>
      </c>
      <c r="D303" s="29" t="s">
        <v>491</v>
      </c>
      <c r="E303" s="30">
        <f>Source!AQ124</f>
        <v>11.2</v>
      </c>
      <c r="F303" s="31"/>
      <c r="G303" s="32" t="str">
        <f>Source!DI124</f>
        <v/>
      </c>
      <c r="H303" s="30">
        <f>Source!AV124</f>
        <v>1</v>
      </c>
      <c r="I303" s="31">
        <f>Source!U124</f>
        <v>11.2</v>
      </c>
      <c r="J303" s="30"/>
      <c r="K303" s="31"/>
      <c r="AB303" s="27">
        <f>I303</f>
        <v>11.2</v>
      </c>
    </row>
    <row r="304" spans="1:35" ht="15">
      <c r="C304" s="33" t="s">
        <v>492</v>
      </c>
      <c r="H304" s="69">
        <f>I300+I301+I302+0-0-0</f>
        <v>372.23999999999995</v>
      </c>
      <c r="I304" s="69"/>
      <c r="J304" s="69">
        <f>K300+K301+K302+0-0-0</f>
        <v>21500.93</v>
      </c>
      <c r="K304" s="69"/>
    </row>
    <row r="305" spans="1:35" ht="15" hidden="1">
      <c r="C305" s="33" t="s">
        <v>493</v>
      </c>
      <c r="H305" s="68">
        <f>0+0</f>
        <v>0</v>
      </c>
      <c r="I305" s="68"/>
      <c r="J305" s="68">
        <f>0+0</f>
        <v>0</v>
      </c>
      <c r="K305" s="68"/>
    </row>
    <row r="306" spans="1:35" ht="15">
      <c r="H306" s="68"/>
      <c r="I306" s="68"/>
      <c r="J306" s="68"/>
      <c r="K306" s="68"/>
      <c r="O306" s="27">
        <f>I300+I301+I302+0</f>
        <v>372.23999999999995</v>
      </c>
      <c r="P306" s="27">
        <f>K300+K301+K302+0</f>
        <v>21500.93</v>
      </c>
      <c r="X306">
        <f>IF(Source!BI124&lt;=1,I300+I301+I302-0, 0)</f>
        <v>0</v>
      </c>
      <c r="Y306">
        <f>IF(Source!BI124=2,I300+I301+I302-0, 0)</f>
        <v>0</v>
      </c>
      <c r="Z306">
        <f>IF(Source!BI124=3,I300+I301+I302-0, 0)</f>
        <v>0</v>
      </c>
      <c r="AA306">
        <f>IF(Source!BI124=4,I300+I301+I302,0)</f>
        <v>372.23999999999995</v>
      </c>
    </row>
    <row r="309" spans="1:35" ht="15">
      <c r="A309" s="72" t="str">
        <f>CONCATENATE("Итого по разделу: ",IF(Source!G126&lt;&gt;"Новый раздел", Source!G126, ""))</f>
        <v>Итого по разделу: Установка воздушной завесы</v>
      </c>
      <c r="B309" s="72"/>
      <c r="C309" s="72"/>
      <c r="D309" s="72"/>
      <c r="E309" s="72"/>
      <c r="F309" s="72"/>
      <c r="G309" s="72"/>
      <c r="H309" s="68">
        <f>SUM(O173:O308)</f>
        <v>36084.129999999997</v>
      </c>
      <c r="I309" s="71"/>
      <c r="J309" s="68">
        <f>SUM(P173:P308)</f>
        <v>112009.22999999998</v>
      </c>
      <c r="K309" s="71"/>
    </row>
    <row r="310" spans="1:35" hidden="1">
      <c r="A310" t="s">
        <v>500</v>
      </c>
      <c r="H310">
        <f>SUM(AC173:AC309)</f>
        <v>0</v>
      </c>
      <c r="J310">
        <f>SUM(AD173:AD309)</f>
        <v>0</v>
      </c>
    </row>
    <row r="311" spans="1:35" hidden="1">
      <c r="A311" t="s">
        <v>501</v>
      </c>
      <c r="H311">
        <f>SUM(AE173:AE310)</f>
        <v>0</v>
      </c>
      <c r="J311">
        <f>SUM(AF173:AF310)</f>
        <v>0</v>
      </c>
    </row>
    <row r="313" spans="1:35" ht="16.5">
      <c r="A313" s="70" t="str">
        <f>CONCATENATE("Раздел: ",IF(Source!G156&lt;&gt;"Новый раздел", Source!G156, ""))</f>
        <v>Раздел: Освещение (коридор)</v>
      </c>
      <c r="B313" s="70"/>
      <c r="C313" s="70"/>
      <c r="D313" s="70"/>
      <c r="E313" s="70"/>
      <c r="F313" s="70"/>
      <c r="G313" s="70"/>
      <c r="H313" s="70"/>
      <c r="I313" s="70"/>
      <c r="J313" s="70"/>
      <c r="K313" s="70"/>
    </row>
    <row r="314" spans="1:35" ht="85.5">
      <c r="A314" s="22">
        <v>29</v>
      </c>
      <c r="B314" s="22" t="str">
        <f>Source!F160</f>
        <v>4.8-218-1</v>
      </c>
      <c r="C314" s="22" t="s">
        <v>59</v>
      </c>
      <c r="D314" s="24" t="str">
        <f>Source!H160</f>
        <v>1  ШТ.</v>
      </c>
      <c r="E314" s="23">
        <f>Source!I160</f>
        <v>1</v>
      </c>
      <c r="F314" s="26"/>
      <c r="G314" s="25"/>
      <c r="H314" s="23"/>
      <c r="I314" s="26"/>
      <c r="J314" s="23"/>
      <c r="K314" s="26"/>
      <c r="Q314">
        <f>ROUND((Source!BZ160/100)*(ROUND((ROUND((Source!AF160*Source!AV160*Source!I160),2)),2)+(ROUND((ROUND((((Source!EU160*1.2))*Source!AV160*Source!I160),2)),2)+ROUND((ROUND(((Source!AE160-((Source!EU160*1.2)))*Source!AV160*Source!I160),2)),2))), 2)</f>
        <v>19.440000000000001</v>
      </c>
      <c r="R314">
        <f>Source!X160</f>
        <v>1122.78</v>
      </c>
      <c r="S314">
        <f>ROUND((Source!CA160/100)*(ROUND((ROUND((Source!AF160*Source!AV160*Source!I160),2)),2)+(ROUND((ROUND((((Source!EU160*1.2))*Source!AV160*Source!I160),2)),2)+ROUND((ROUND(((Source!AE160-((Source!EU160*1.2)))*Source!AV160*Source!I160),2)),2))), 2)</f>
        <v>10.220000000000001</v>
      </c>
      <c r="T314">
        <f>Source!Y160</f>
        <v>590.33000000000004</v>
      </c>
      <c r="U314">
        <f>ROUND((175/100)*((ROUND((ROUND((((Source!EU160*1.2))*Source!AV160*Source!I160),2)),2)+ROUND((ROUND(((Source!AE160-((Source!EU160*1.2)))*Source!AV160*Source!I160),2)),2))), 2)</f>
        <v>0</v>
      </c>
      <c r="V314">
        <f>ROUND((0/100)*((ROUND((ROUND((((Source!EU160*1.2))*Source!AV160*Source!I160),2)*Source!BS160),2)+ROUND((ROUND(((Source!AE160-((Source!EU160*1.2)))*Source!AV160*Source!I160),2)*Source!BS160),2))), 2)</f>
        <v>0</v>
      </c>
      <c r="AI314">
        <v>0</v>
      </c>
    </row>
    <row r="315" spans="1:35" ht="14.25">
      <c r="A315" s="22"/>
      <c r="B315" s="22"/>
      <c r="C315" s="22" t="s">
        <v>485</v>
      </c>
      <c r="D315" s="24"/>
      <c r="E315" s="23"/>
      <c r="F315" s="26">
        <f>Source!AO160</f>
        <v>16.7</v>
      </c>
      <c r="G315" s="25" t="str">
        <f>Source!DG160</f>
        <v>*1,2</v>
      </c>
      <c r="H315" s="23">
        <f>Source!AV160</f>
        <v>1</v>
      </c>
      <c r="I315" s="26">
        <f>ROUND((ROUND((Source!AF160*Source!AV160*Source!I160),2)),2)</f>
        <v>20.04</v>
      </c>
      <c r="J315" s="23">
        <f>IF(Source!BA160&lt;&gt; 0, Source!BA160, 1)</f>
        <v>57.76</v>
      </c>
      <c r="K315" s="26">
        <f>Source!S160</f>
        <v>1157.51</v>
      </c>
      <c r="W315">
        <f>I315</f>
        <v>20.04</v>
      </c>
    </row>
    <row r="316" spans="1:35" ht="14.25">
      <c r="A316" s="22"/>
      <c r="B316" s="22"/>
      <c r="C316" s="22" t="s">
        <v>486</v>
      </c>
      <c r="D316" s="24"/>
      <c r="E316" s="23"/>
      <c r="F316" s="26">
        <f>Source!AM160</f>
        <v>0.79</v>
      </c>
      <c r="G316" s="25" t="str">
        <f>Source!DE160</f>
        <v>*1,2</v>
      </c>
      <c r="H316" s="23">
        <f>Source!AV160</f>
        <v>1</v>
      </c>
      <c r="I316" s="26">
        <f>(ROUND((ROUND((((Source!ET160*1.2))*Source!AV160*Source!I160),2)),2)+ROUND((ROUND(((Source!AE160-((Source!EU160*1.2)))*Source!AV160*Source!I160),2)),2))</f>
        <v>0.95</v>
      </c>
      <c r="J316" s="23">
        <f>IF(Source!BB160&lt;&gt; 0, Source!BB160, 1)</f>
        <v>12.46</v>
      </c>
      <c r="K316" s="26">
        <f>Source!Q160</f>
        <v>11.84</v>
      </c>
    </row>
    <row r="317" spans="1:35" ht="14.25">
      <c r="A317" s="22"/>
      <c r="B317" s="22"/>
      <c r="C317" s="22" t="s">
        <v>495</v>
      </c>
      <c r="D317" s="24"/>
      <c r="E317" s="23"/>
      <c r="F317" s="26">
        <f>Source!AL160</f>
        <v>25.27</v>
      </c>
      <c r="G317" s="25" t="str">
        <f>Source!DD160</f>
        <v>*1</v>
      </c>
      <c r="H317" s="23">
        <f>Source!AW160</f>
        <v>1</v>
      </c>
      <c r="I317" s="26">
        <f>ROUND((ROUND((Source!AC160*Source!AW160*Source!I160),2)),2)</f>
        <v>25.27</v>
      </c>
      <c r="J317" s="23">
        <f>IF(Source!BC160&lt;&gt; 0, Source!BC160, 1)</f>
        <v>6.07</v>
      </c>
      <c r="K317" s="26">
        <f>Source!P160</f>
        <v>153.38999999999999</v>
      </c>
    </row>
    <row r="318" spans="1:35" ht="28.5">
      <c r="A318" s="22" t="s">
        <v>268</v>
      </c>
      <c r="B318" s="22" t="str">
        <f>Source!F161</f>
        <v>1.1-1-58</v>
      </c>
      <c r="C318" s="22" t="s">
        <v>65</v>
      </c>
      <c r="D318" s="24" t="str">
        <f>Source!H161</f>
        <v>т</v>
      </c>
      <c r="E318" s="23">
        <f>Source!I161</f>
        <v>4.8999999999999998E-5</v>
      </c>
      <c r="F318" s="26">
        <f>Source!AK161</f>
        <v>24609.759999999998</v>
      </c>
      <c r="G318" s="35" t="s">
        <v>3</v>
      </c>
      <c r="H318" s="23">
        <f>Source!AW161</f>
        <v>1</v>
      </c>
      <c r="I318" s="26">
        <f>ROUND((ROUND((Source!AC161*Source!AW161*Source!I161),2)),2)+(ROUND((ROUND(((Source!ET161)*Source!AV161*Source!I161),2)),2)+ROUND((ROUND(((Source!AE161-(Source!EU161))*Source!AV161*Source!I161),2)),2))+ROUND((ROUND((Source!AF161*Source!AV161*Source!I161),2)),2)</f>
        <v>1.21</v>
      </c>
      <c r="J318" s="23">
        <f>IF(Source!BC161&lt;&gt; 0, Source!BC161, 1)</f>
        <v>3.49</v>
      </c>
      <c r="K318" s="26">
        <f>Source!O161</f>
        <v>4.22</v>
      </c>
      <c r="Q318">
        <f>ROUND((Source!BZ161/100)*(ROUND((ROUND((Source!AF161*Source!AV161*Source!I161),2)),2)+(ROUND((ROUND(((Source!EU161)*Source!AV161*Source!I161),2)),2)+ROUND((ROUND(((Source!AE161-(Source!EU161))*Source!AV161*Source!I161),2)),2))), 2)</f>
        <v>0</v>
      </c>
      <c r="R318">
        <f>Source!X161</f>
        <v>0</v>
      </c>
      <c r="S318">
        <f>ROUND((Source!CA161/100)*(ROUND((ROUND((Source!AF161*Source!AV161*Source!I161),2)),2)+(ROUND((ROUND(((Source!EU161)*Source!AV161*Source!I161),2)),2)+ROUND((ROUND(((Source!AE161-(Source!EU161))*Source!AV161*Source!I161),2)),2))), 2)</f>
        <v>0</v>
      </c>
      <c r="T318">
        <f>Source!Y161</f>
        <v>0</v>
      </c>
      <c r="U318">
        <f>ROUND((175/100)*((ROUND((ROUND(((Source!EU161)*Source!AV161*Source!I161),2)),2)+ROUND((ROUND(((Source!AE161-(Source!EU161))*Source!AV161*Source!I161),2)),2))), 2)</f>
        <v>0</v>
      </c>
      <c r="V318">
        <f>ROUND((0/100)*((ROUND((ROUND(((Source!EU161)*Source!AV161*Source!I161),2)*Source!BS161),2)+ROUND((ROUND(((Source!AE161-(Source!EU161))*Source!AV161*Source!I161),2)*Source!BS161),2))), 2)</f>
        <v>0</v>
      </c>
      <c r="X318">
        <f>IF(Source!BI161&lt;=1,I318, 0)</f>
        <v>0</v>
      </c>
      <c r="Y318">
        <f>IF(Source!BI161=2,I318, 0)</f>
        <v>1.21</v>
      </c>
      <c r="Z318">
        <f>IF(Source!BI161=3,I318, 0)</f>
        <v>0</v>
      </c>
      <c r="AA318">
        <f>IF(Source!BI161=4,I318, 0)</f>
        <v>0</v>
      </c>
      <c r="AI318">
        <v>3</v>
      </c>
    </row>
    <row r="319" spans="1:35" ht="42.75">
      <c r="A319" s="22" t="s">
        <v>269</v>
      </c>
      <c r="B319" s="22" t="str">
        <f>Source!F162</f>
        <v>1.21-5-1037</v>
      </c>
      <c r="C319" s="22" t="s">
        <v>271</v>
      </c>
      <c r="D319" s="24" t="str">
        <f>Source!H162</f>
        <v>шт.</v>
      </c>
      <c r="E319" s="23">
        <f>Source!I162</f>
        <v>1</v>
      </c>
      <c r="F319" s="26">
        <f>Source!AK162</f>
        <v>77.010000000000005</v>
      </c>
      <c r="G319" s="35" t="s">
        <v>3</v>
      </c>
      <c r="H319" s="23">
        <f>Source!AW162</f>
        <v>1</v>
      </c>
      <c r="I319" s="26">
        <f>ROUND((ROUND((Source!AC162*Source!AW162*Source!I162),2)),2)+(ROUND((ROUND(((Source!ET162)*Source!AV162*Source!I162),2)),2)+ROUND((ROUND(((Source!AE162-(Source!EU162))*Source!AV162*Source!I162),2)),2))+ROUND((ROUND((Source!AF162*Source!AV162*Source!I162),2)),2)</f>
        <v>77.010000000000005</v>
      </c>
      <c r="J319" s="23">
        <f>IF(Source!BC162&lt;&gt; 0, Source!BC162, 1)</f>
        <v>5.53</v>
      </c>
      <c r="K319" s="26">
        <f>Source!O162</f>
        <v>425.87</v>
      </c>
      <c r="Q319">
        <f>ROUND((Source!BZ162/100)*(ROUND((ROUND((Source!AF162*Source!AV162*Source!I162),2)),2)+(ROUND((ROUND(((Source!EU162)*Source!AV162*Source!I162),2)),2)+ROUND((ROUND(((Source!AE162-(Source!EU162))*Source!AV162*Source!I162),2)),2))), 2)</f>
        <v>0</v>
      </c>
      <c r="R319">
        <f>Source!X162</f>
        <v>0</v>
      </c>
      <c r="S319">
        <f>ROUND((Source!CA162/100)*(ROUND((ROUND((Source!AF162*Source!AV162*Source!I162),2)),2)+(ROUND((ROUND(((Source!EU162)*Source!AV162*Source!I162),2)),2)+ROUND((ROUND(((Source!AE162-(Source!EU162))*Source!AV162*Source!I162),2)),2))), 2)</f>
        <v>0</v>
      </c>
      <c r="T319">
        <f>Source!Y162</f>
        <v>0</v>
      </c>
      <c r="U319">
        <f>ROUND((175/100)*((ROUND((ROUND(((Source!EU162)*Source!AV162*Source!I162),2)),2)+ROUND((ROUND(((Source!AE162-(Source!EU162))*Source!AV162*Source!I162),2)),2))), 2)</f>
        <v>0</v>
      </c>
      <c r="V319">
        <f>ROUND((0/100)*((ROUND((ROUND(((Source!EU162)*Source!AV162*Source!I162),2)*Source!BS162),2)+ROUND((ROUND(((Source!AE162-(Source!EU162))*Source!AV162*Source!I162),2)*Source!BS162),2))), 2)</f>
        <v>0</v>
      </c>
      <c r="X319">
        <f>IF(Source!BI162&lt;=1,I319, 0)</f>
        <v>0</v>
      </c>
      <c r="Y319">
        <f>IF(Source!BI162=2,I319, 0)</f>
        <v>77.010000000000005</v>
      </c>
      <c r="Z319">
        <f>IF(Source!BI162=3,I319, 0)</f>
        <v>0</v>
      </c>
      <c r="AA319">
        <f>IF(Source!BI162=4,I319, 0)</f>
        <v>0</v>
      </c>
      <c r="AI319">
        <v>3</v>
      </c>
    </row>
    <row r="320" spans="1:35" ht="28.5">
      <c r="A320" s="22" t="s">
        <v>273</v>
      </c>
      <c r="B320" s="22" t="str">
        <f>Source!F163</f>
        <v>3449800000</v>
      </c>
      <c r="C320" s="22" t="s">
        <v>35</v>
      </c>
      <c r="D320" s="24" t="str">
        <f>Source!H163</f>
        <v>шт.</v>
      </c>
      <c r="E320" s="23">
        <f>Source!I163</f>
        <v>6.1</v>
      </c>
      <c r="F320" s="26">
        <f>Source!AK163</f>
        <v>0</v>
      </c>
      <c r="G320" s="35" t="s">
        <v>3</v>
      </c>
      <c r="H320" s="23">
        <f>Source!AW163</f>
        <v>1</v>
      </c>
      <c r="I320" s="26">
        <f>ROUND((ROUND((Source!AC163*Source!AW163*Source!I163),2)),2)+(ROUND((ROUND(((Source!ET163)*Source!AV163*Source!I163),2)),2)+ROUND((ROUND(((Source!AE163-(Source!EU163))*Source!AV163*Source!I163),2)),2))+ROUND((ROUND((Source!AF163*Source!AV163*Source!I163),2)),2)</f>
        <v>0</v>
      </c>
      <c r="J320" s="23">
        <f>IF(Source!BC163&lt;&gt; 0, Source!BC163, 1)</f>
        <v>1</v>
      </c>
      <c r="K320" s="26">
        <f>Source!O163</f>
        <v>0</v>
      </c>
      <c r="Q320">
        <f>ROUND((Source!BZ163/100)*(ROUND((ROUND((Source!AF163*Source!AV163*Source!I163),2)),2)+(ROUND((ROUND(((Source!EU163)*Source!AV163*Source!I163),2)),2)+ROUND((ROUND(((Source!AE163-(Source!EU163))*Source!AV163*Source!I163),2)),2))), 2)</f>
        <v>0</v>
      </c>
      <c r="R320">
        <f>Source!X163</f>
        <v>0</v>
      </c>
      <c r="S320">
        <f>ROUND((Source!CA163/100)*(ROUND((ROUND((Source!AF163*Source!AV163*Source!I163),2)),2)+(ROUND((ROUND(((Source!EU163)*Source!AV163*Source!I163),2)),2)+ROUND((ROUND(((Source!AE163-(Source!EU163))*Source!AV163*Source!I163),2)),2))), 2)</f>
        <v>0</v>
      </c>
      <c r="T320">
        <f>Source!Y163</f>
        <v>0</v>
      </c>
      <c r="U320">
        <f>ROUND((175/100)*((ROUND((ROUND(((Source!EU163)*Source!AV163*Source!I163),2)),2)+ROUND((ROUND(((Source!AE163-(Source!EU163))*Source!AV163*Source!I163),2)),2))), 2)</f>
        <v>0</v>
      </c>
      <c r="V320">
        <f>ROUND((0/100)*((ROUND((ROUND(((Source!EU163)*Source!AV163*Source!I163),2)*Source!BS163),2)+ROUND((ROUND(((Source!AE163-(Source!EU163))*Source!AV163*Source!I163),2)*Source!BS163),2))), 2)</f>
        <v>0</v>
      </c>
      <c r="X320">
        <f>IF(Source!BI163&lt;=1,I320, 0)</f>
        <v>0</v>
      </c>
      <c r="Y320">
        <f>IF(Source!BI163=2,I320, 0)</f>
        <v>0</v>
      </c>
      <c r="Z320">
        <f>IF(Source!BI163=3,I320, 0)</f>
        <v>0</v>
      </c>
      <c r="AA320">
        <f>IF(Source!BI163=4,I320, 0)</f>
        <v>0</v>
      </c>
      <c r="AI320">
        <v>3</v>
      </c>
    </row>
    <row r="321" spans="1:35" ht="28.5">
      <c r="A321" s="22" t="s">
        <v>274</v>
      </c>
      <c r="B321" s="22" t="str">
        <f>Source!F164</f>
        <v>5290900000</v>
      </c>
      <c r="C321" s="22" t="s">
        <v>38</v>
      </c>
      <c r="D321" s="24" t="str">
        <f>Source!H164</f>
        <v>т</v>
      </c>
      <c r="E321" s="23">
        <f>Source!I164</f>
        <v>1E-3</v>
      </c>
      <c r="F321" s="26">
        <f>Source!AK164</f>
        <v>0</v>
      </c>
      <c r="G321" s="35" t="s">
        <v>3</v>
      </c>
      <c r="H321" s="23">
        <f>Source!AW164</f>
        <v>1</v>
      </c>
      <c r="I321" s="26">
        <f>ROUND((ROUND((Source!AC164*Source!AW164*Source!I164),2)),2)+(ROUND((ROUND(((Source!ET164)*Source!AV164*Source!I164),2)),2)+ROUND((ROUND(((Source!AE164-(Source!EU164))*Source!AV164*Source!I164),2)),2))+ROUND((ROUND((Source!AF164*Source!AV164*Source!I164),2)),2)</f>
        <v>0</v>
      </c>
      <c r="J321" s="23">
        <f>IF(Source!BC164&lt;&gt; 0, Source!BC164, 1)</f>
        <v>1</v>
      </c>
      <c r="K321" s="26">
        <f>Source!O164</f>
        <v>0</v>
      </c>
      <c r="Q321">
        <f>ROUND((Source!BZ164/100)*(ROUND((ROUND((Source!AF164*Source!AV164*Source!I164),2)),2)+(ROUND((ROUND(((Source!EU164)*Source!AV164*Source!I164),2)),2)+ROUND((ROUND(((Source!AE164-(Source!EU164))*Source!AV164*Source!I164),2)),2))), 2)</f>
        <v>0</v>
      </c>
      <c r="R321">
        <f>Source!X164</f>
        <v>0</v>
      </c>
      <c r="S321">
        <f>ROUND((Source!CA164/100)*(ROUND((ROUND((Source!AF164*Source!AV164*Source!I164),2)),2)+(ROUND((ROUND(((Source!EU164)*Source!AV164*Source!I164),2)),2)+ROUND((ROUND(((Source!AE164-(Source!EU164))*Source!AV164*Source!I164),2)),2))), 2)</f>
        <v>0</v>
      </c>
      <c r="T321">
        <f>Source!Y164</f>
        <v>0</v>
      </c>
      <c r="U321">
        <f>ROUND((175/100)*((ROUND((ROUND(((Source!EU164)*Source!AV164*Source!I164),2)),2)+ROUND((ROUND(((Source!AE164-(Source!EU164))*Source!AV164*Source!I164),2)),2))), 2)</f>
        <v>0</v>
      </c>
      <c r="V321">
        <f>ROUND((0/100)*((ROUND((ROUND(((Source!EU164)*Source!AV164*Source!I164),2)*Source!BS164),2)+ROUND((ROUND(((Source!AE164-(Source!EU164))*Source!AV164*Source!I164),2)*Source!BS164),2))), 2)</f>
        <v>0</v>
      </c>
      <c r="X321">
        <f>IF(Source!BI164&lt;=1,I321, 0)</f>
        <v>0</v>
      </c>
      <c r="Y321">
        <f>IF(Source!BI164=2,I321, 0)</f>
        <v>0</v>
      </c>
      <c r="Z321">
        <f>IF(Source!BI164=3,I321, 0)</f>
        <v>0</v>
      </c>
      <c r="AA321">
        <f>IF(Source!BI164=4,I321, 0)</f>
        <v>0</v>
      </c>
      <c r="AI321">
        <v>3</v>
      </c>
    </row>
    <row r="322" spans="1:35" ht="14.25">
      <c r="A322" s="22"/>
      <c r="B322" s="22"/>
      <c r="C322" s="22" t="s">
        <v>487</v>
      </c>
      <c r="D322" s="24" t="s">
        <v>488</v>
      </c>
      <c r="E322" s="23">
        <f>Source!BZ160</f>
        <v>97</v>
      </c>
      <c r="F322" s="26"/>
      <c r="G322" s="25"/>
      <c r="H322" s="23"/>
      <c r="I322" s="26">
        <f>SUM(Q314:Q321)</f>
        <v>19.440000000000001</v>
      </c>
      <c r="J322" s="23">
        <f>Source!AT160</f>
        <v>97</v>
      </c>
      <c r="K322" s="26">
        <f>SUM(R314:R321)</f>
        <v>1122.78</v>
      </c>
    </row>
    <row r="323" spans="1:35" ht="14.25">
      <c r="A323" s="22"/>
      <c r="B323" s="22"/>
      <c r="C323" s="22" t="s">
        <v>489</v>
      </c>
      <c r="D323" s="24" t="s">
        <v>488</v>
      </c>
      <c r="E323" s="23">
        <f>Source!CA160</f>
        <v>51</v>
      </c>
      <c r="F323" s="26"/>
      <c r="G323" s="25"/>
      <c r="H323" s="23"/>
      <c r="I323" s="26">
        <f>SUM(S314:S322)</f>
        <v>10.220000000000001</v>
      </c>
      <c r="J323" s="23">
        <f>Source!AU160</f>
        <v>51</v>
      </c>
      <c r="K323" s="26">
        <f>SUM(T314:T322)</f>
        <v>590.33000000000004</v>
      </c>
    </row>
    <row r="324" spans="1:35" ht="14.25">
      <c r="A324" s="28"/>
      <c r="B324" s="28"/>
      <c r="C324" s="28" t="s">
        <v>490</v>
      </c>
      <c r="D324" s="29" t="s">
        <v>491</v>
      </c>
      <c r="E324" s="30">
        <f>Source!AQ160</f>
        <v>1.34</v>
      </c>
      <c r="F324" s="31"/>
      <c r="G324" s="32" t="str">
        <f>Source!DI160</f>
        <v>*1,2</v>
      </c>
      <c r="H324" s="30">
        <f>Source!AV160</f>
        <v>1</v>
      </c>
      <c r="I324" s="31">
        <f>Source!U160</f>
        <v>1.6080000000000001</v>
      </c>
      <c r="J324" s="30"/>
      <c r="K324" s="31"/>
      <c r="AB324" s="27">
        <f>I324</f>
        <v>1.6080000000000001</v>
      </c>
    </row>
    <row r="325" spans="1:35" ht="15">
      <c r="C325" s="33" t="s">
        <v>492</v>
      </c>
      <c r="H325" s="69">
        <f>I315+I316+I317+I322+I323+SUM(I318:I321)-SUMIF(AI318:AI321, 5, I318:I321)-SUMIF(AI318:AI321, 6, I318:I321)</f>
        <v>154.13999999999999</v>
      </c>
      <c r="I325" s="69"/>
      <c r="J325" s="69">
        <f>K315+K316+K317+K322+K323+SUM(K318:K321)-SUMIF(AI318:AI321, 5, K318:K321)-SUMIF(AI318:AI321, 6, K318:K321)</f>
        <v>3465.9399999999996</v>
      </c>
      <c r="K325" s="69"/>
    </row>
    <row r="326" spans="1:35" ht="15" hidden="1">
      <c r="C326" s="33" t="s">
        <v>493</v>
      </c>
      <c r="H326" s="68">
        <f>SUMIF(AI318:AI321, 5, I318:I321)+SUMIF(AI318:AI321, 6, I318:I321)</f>
        <v>0</v>
      </c>
      <c r="I326" s="68"/>
      <c r="J326" s="68">
        <f>SUMIF(AI318:AI321, 5, K318:K321)+SUMIF(AI318:AI321, 6, K318:K321)</f>
        <v>0</v>
      </c>
      <c r="K326" s="68"/>
    </row>
    <row r="327" spans="1:35" ht="15">
      <c r="H327" s="68"/>
      <c r="I327" s="68"/>
      <c r="J327" s="68"/>
      <c r="K327" s="68"/>
      <c r="O327" s="27">
        <f>I315+I316+I317+I322+I323+SUM(I318:I321)</f>
        <v>154.13999999999999</v>
      </c>
      <c r="P327" s="27">
        <f>K315+K316+K317+K322+K323+SUM(K318:K321)</f>
        <v>3465.9399999999996</v>
      </c>
      <c r="X327">
        <f>IF(Source!BI160&lt;=1,I315+I316+I317+I322+I323-0, 0)</f>
        <v>0</v>
      </c>
      <c r="Y327">
        <f>IF(Source!BI160=2,I315+I316+I317+I322+I323-0, 0)</f>
        <v>75.92</v>
      </c>
      <c r="Z327">
        <f>IF(Source!BI160=3,I315+I316+I317+I322+I323-0, 0)</f>
        <v>0</v>
      </c>
      <c r="AA327">
        <f>IF(Source!BI160=4,I315+I316+I317+I322+I323,0)</f>
        <v>0</v>
      </c>
    </row>
    <row r="329" spans="1:35" ht="57">
      <c r="A329" s="22">
        <v>30</v>
      </c>
      <c r="B329" s="22" t="str">
        <f>Source!F165</f>
        <v>4.8-158-1</v>
      </c>
      <c r="C329" s="22" t="s">
        <v>277</v>
      </c>
      <c r="D329" s="24" t="str">
        <f>Source!H165</f>
        <v>1 Т</v>
      </c>
      <c r="E329" s="23">
        <f>Source!I165</f>
        <v>1.9699999999999999E-2</v>
      </c>
      <c r="F329" s="26"/>
      <c r="G329" s="25"/>
      <c r="H329" s="23"/>
      <c r="I329" s="26"/>
      <c r="J329" s="23"/>
      <c r="K329" s="26"/>
      <c r="Q329">
        <f>ROUND((Source!BZ165/100)*(ROUND((ROUND((Source!AF165*Source!AV165*Source!I165),2)),2)+(ROUND((ROUND(((((Source!EU165*1.2)*1))*Source!AV165*Source!I165),2)),2)+ROUND((ROUND(((Source!AE165-(((Source!EU165*1.2)*1)))*Source!AV165*Source!I165),2)),2))), 2)</f>
        <v>22.86</v>
      </c>
      <c r="R329">
        <f>Source!X165</f>
        <v>1320.56</v>
      </c>
      <c r="S329">
        <f>ROUND((Source!CA165/100)*(ROUND((ROUND((Source!AF165*Source!AV165*Source!I165),2)),2)+(ROUND((ROUND(((((Source!EU165*1.2)*1))*Source!AV165*Source!I165),2)),2)+ROUND((ROUND(((Source!AE165-(((Source!EU165*1.2)*1)))*Source!AV165*Source!I165),2)),2))), 2)</f>
        <v>12.02</v>
      </c>
      <c r="T329">
        <f>Source!Y165</f>
        <v>694.31</v>
      </c>
      <c r="U329">
        <f>ROUND((175/100)*((ROUND((ROUND(((((Source!EU165*1.2)*1))*Source!AV165*Source!I165),2)),2)+ROUND((ROUND(((Source!AE165-(((Source!EU165*1.2)*1)))*Source!AV165*Source!I165),2)),2))), 2)</f>
        <v>9.84</v>
      </c>
      <c r="V329">
        <f>ROUND((0/100)*((ROUND((ROUND(((((Source!EU165*1.2)*1))*Source!AV165*Source!I165),2)*Source!BS165),2)+ROUND((ROUND(((Source!AE165-(((Source!EU165*1.2)*1)))*Source!AV165*Source!I165),2)*Source!BS165),2))), 2)</f>
        <v>0</v>
      </c>
      <c r="AI329">
        <v>0</v>
      </c>
    </row>
    <row r="330" spans="1:35">
      <c r="C330" s="36" t="str">
        <f>"Объем: "&amp;Source!I165&amp;"=1,97*"&amp;"10/"&amp;"1000"</f>
        <v>Объем: 0,0197=1,97*10/1000</v>
      </c>
    </row>
    <row r="331" spans="1:35" ht="28.5">
      <c r="A331" s="22"/>
      <c r="B331" s="22"/>
      <c r="C331" s="22" t="s">
        <v>485</v>
      </c>
      <c r="D331" s="24"/>
      <c r="E331" s="23"/>
      <c r="F331" s="26">
        <f>Source!AO165</f>
        <v>723.18</v>
      </c>
      <c r="G331" s="25" t="str">
        <f>Source!DG165</f>
        <v>*1,2)*1,05</v>
      </c>
      <c r="H331" s="23">
        <f>Source!AV165</f>
        <v>1</v>
      </c>
      <c r="I331" s="26">
        <f>ROUND((ROUND((Source!AF165*Source!AV165*Source!I165),2)),2)</f>
        <v>17.95</v>
      </c>
      <c r="J331" s="23">
        <f>IF(Source!BA165&lt;&gt; 0, Source!BA165, 1)</f>
        <v>57.76</v>
      </c>
      <c r="K331" s="26">
        <f>Source!S165</f>
        <v>1036.79</v>
      </c>
      <c r="W331">
        <f>I331</f>
        <v>17.95</v>
      </c>
    </row>
    <row r="332" spans="1:35" ht="14.25">
      <c r="A332" s="22"/>
      <c r="B332" s="22"/>
      <c r="C332" s="22" t="s">
        <v>486</v>
      </c>
      <c r="D332" s="24"/>
      <c r="E332" s="23"/>
      <c r="F332" s="26">
        <f>Source!AM165</f>
        <v>644.27</v>
      </c>
      <c r="G332" s="25" t="str">
        <f>Source!DE165</f>
        <v>*1,2)*1</v>
      </c>
      <c r="H332" s="23">
        <f>Source!AV165</f>
        <v>1</v>
      </c>
      <c r="I332" s="26">
        <f>(ROUND((ROUND(((((Source!ET165*1.2)*1))*Source!AV165*Source!I165),2)),2)+ROUND((ROUND(((Source!AE165-(((Source!EU165*1.2)*1)))*Source!AV165*Source!I165),2)),2))</f>
        <v>15.23</v>
      </c>
      <c r="J332" s="23">
        <f>IF(Source!BB165&lt;&gt; 0, Source!BB165, 1)</f>
        <v>28.85</v>
      </c>
      <c r="K332" s="26">
        <f>Source!Q165</f>
        <v>439.39</v>
      </c>
    </row>
    <row r="333" spans="1:35" ht="14.25">
      <c r="A333" s="22"/>
      <c r="B333" s="22"/>
      <c r="C333" s="22" t="s">
        <v>494</v>
      </c>
      <c r="D333" s="24"/>
      <c r="E333" s="23"/>
      <c r="F333" s="26">
        <f>Source!AN165</f>
        <v>237.63</v>
      </c>
      <c r="G333" s="25" t="str">
        <f>Source!DF165</f>
        <v>*1,2)*1</v>
      </c>
      <c r="H333" s="23">
        <f>Source!AV165</f>
        <v>1</v>
      </c>
      <c r="I333" s="34">
        <f>(ROUND((ROUND(((((Source!EU165*1.2)*1))*Source!AV165*Source!I165),2)),2)+ROUND((ROUND(((Source!AE165-(((Source!EU165*1.2)*1)))*Source!AV165*Source!I165),2)),2))</f>
        <v>5.62</v>
      </c>
      <c r="J333" s="23">
        <f>IF(Source!BS165&lt;&gt; 0, Source!BS165, 1)</f>
        <v>57.76</v>
      </c>
      <c r="K333" s="34">
        <f>Source!R165</f>
        <v>324.61</v>
      </c>
      <c r="W333">
        <f>I333</f>
        <v>5.62</v>
      </c>
    </row>
    <row r="334" spans="1:35" ht="14.25">
      <c r="A334" s="22"/>
      <c r="B334" s="22"/>
      <c r="C334" s="22" t="s">
        <v>495</v>
      </c>
      <c r="D334" s="24"/>
      <c r="E334" s="23"/>
      <c r="F334" s="26">
        <f>Source!AL165</f>
        <v>74.25</v>
      </c>
      <c r="G334" s="25" t="str">
        <f>Source!DD165</f>
        <v>*1)*1</v>
      </c>
      <c r="H334" s="23">
        <f>Source!AW165</f>
        <v>1</v>
      </c>
      <c r="I334" s="26">
        <f>ROUND((ROUND((Source!AC165*Source!AW165*Source!I165),2)),2)</f>
        <v>1.46</v>
      </c>
      <c r="J334" s="23">
        <f>IF(Source!BC165&lt;&gt; 0, Source!BC165, 1)</f>
        <v>9.27</v>
      </c>
      <c r="K334" s="26">
        <f>Source!P165</f>
        <v>13.53</v>
      </c>
    </row>
    <row r="335" spans="1:35" ht="14.25">
      <c r="A335" s="22"/>
      <c r="B335" s="22"/>
      <c r="C335" s="22" t="s">
        <v>487</v>
      </c>
      <c r="D335" s="24" t="s">
        <v>488</v>
      </c>
      <c r="E335" s="23">
        <f>Source!BZ165</f>
        <v>97</v>
      </c>
      <c r="F335" s="26"/>
      <c r="G335" s="25"/>
      <c r="H335" s="23"/>
      <c r="I335" s="26">
        <f>SUM(Q329:Q334)</f>
        <v>22.86</v>
      </c>
      <c r="J335" s="23">
        <f>Source!AT165</f>
        <v>97</v>
      </c>
      <c r="K335" s="26">
        <f>SUM(R329:R334)</f>
        <v>1320.56</v>
      </c>
    </row>
    <row r="336" spans="1:35" ht="14.25">
      <c r="A336" s="22"/>
      <c r="B336" s="22"/>
      <c r="C336" s="22" t="s">
        <v>489</v>
      </c>
      <c r="D336" s="24" t="s">
        <v>488</v>
      </c>
      <c r="E336" s="23">
        <f>Source!CA165</f>
        <v>51</v>
      </c>
      <c r="F336" s="26"/>
      <c r="G336" s="25"/>
      <c r="H336" s="23"/>
      <c r="I336" s="26">
        <f>SUM(S329:S335)</f>
        <v>12.02</v>
      </c>
      <c r="J336" s="23">
        <f>Source!AU165</f>
        <v>51</v>
      </c>
      <c r="K336" s="26">
        <f>SUM(T329:T335)</f>
        <v>694.31</v>
      </c>
    </row>
    <row r="337" spans="1:35" ht="28.5">
      <c r="A337" s="28"/>
      <c r="B337" s="28"/>
      <c r="C337" s="28" t="s">
        <v>490</v>
      </c>
      <c r="D337" s="29" t="s">
        <v>491</v>
      </c>
      <c r="E337" s="30">
        <f>Source!AQ165</f>
        <v>58.7</v>
      </c>
      <c r="F337" s="31"/>
      <c r="G337" s="32" t="str">
        <f>Source!DI165</f>
        <v>*1,2)*1,05</v>
      </c>
      <c r="H337" s="30">
        <f>Source!AV165</f>
        <v>1</v>
      </c>
      <c r="I337" s="31">
        <f>Source!U165</f>
        <v>1.4570513999999999</v>
      </c>
      <c r="J337" s="30"/>
      <c r="K337" s="31"/>
      <c r="AB337" s="27">
        <f>I337</f>
        <v>1.4570513999999999</v>
      </c>
    </row>
    <row r="338" spans="1:35" ht="15">
      <c r="C338" s="33" t="s">
        <v>492</v>
      </c>
      <c r="H338" s="69">
        <f>I331+I332+I334+I335+I336+0-0-0</f>
        <v>69.52</v>
      </c>
      <c r="I338" s="69"/>
      <c r="J338" s="69">
        <f>K331+K332+K334+K335+K336+0-0-0</f>
        <v>3504.5799999999995</v>
      </c>
      <c r="K338" s="69"/>
    </row>
    <row r="339" spans="1:35" ht="15" hidden="1">
      <c r="C339" s="33" t="s">
        <v>493</v>
      </c>
      <c r="H339" s="68">
        <f>0+0</f>
        <v>0</v>
      </c>
      <c r="I339" s="68"/>
      <c r="J339" s="68">
        <f>0+0</f>
        <v>0</v>
      </c>
      <c r="K339" s="68"/>
    </row>
    <row r="340" spans="1:35" ht="15">
      <c r="H340" s="68"/>
      <c r="I340" s="68"/>
      <c r="J340" s="68"/>
      <c r="K340" s="68"/>
      <c r="O340" s="27">
        <f>I331+I332+I334+I335+I336+0</f>
        <v>69.52</v>
      </c>
      <c r="P340" s="27">
        <f>K331+K332+K334+K335+K336+0</f>
        <v>3504.5799999999995</v>
      </c>
      <c r="X340">
        <f>IF(Source!BI165&lt;=1,I331+I332+I334+I335+I336-0, 0)</f>
        <v>0</v>
      </c>
      <c r="Y340">
        <f>IF(Source!BI165=2,I331+I332+I334+I335+I336-0, 0)</f>
        <v>69.52</v>
      </c>
      <c r="Z340">
        <f>IF(Source!BI165=3,I331+I332+I334+I335+I336-0, 0)</f>
        <v>0</v>
      </c>
      <c r="AA340">
        <f>IF(Source!BI165=4,I331+I332+I334+I335+I336,0)</f>
        <v>0</v>
      </c>
    </row>
    <row r="342" spans="1:35" ht="42.75">
      <c r="A342" s="28">
        <v>31</v>
      </c>
      <c r="B342" s="28" t="str">
        <f>Source!F168</f>
        <v>1.21-5-557</v>
      </c>
      <c r="C342" s="28" t="s">
        <v>292</v>
      </c>
      <c r="D342" s="29" t="str">
        <f>Source!H168</f>
        <v>м</v>
      </c>
      <c r="E342" s="30">
        <f>Source!I168</f>
        <v>10</v>
      </c>
      <c r="F342" s="31">
        <f>Source!AL168</f>
        <v>81.03</v>
      </c>
      <c r="G342" s="32" t="str">
        <f>Source!DD168</f>
        <v/>
      </c>
      <c r="H342" s="30">
        <f>Source!AW168</f>
        <v>1</v>
      </c>
      <c r="I342" s="31">
        <f>ROUND((ROUND((Source!AC168*Source!AW168*Source!I168),2)),2)</f>
        <v>810.3</v>
      </c>
      <c r="J342" s="30">
        <f>IF(Source!BC168&lt;&gt; 0, Source!BC168, 1)</f>
        <v>1.97</v>
      </c>
      <c r="K342" s="31">
        <f>Source!P168</f>
        <v>1596.29</v>
      </c>
      <c r="Q342">
        <f>ROUND((Source!BZ168/100)*(ROUND((ROUND((Source!AF168*Source!AV168*Source!I168),2)),2)+(ROUND((ROUND(((Source!EU168)*Source!AV168*Source!I168),2)),2)+ROUND((ROUND(((Source!AE168-(Source!EU168))*Source!AV168*Source!I168),2)),2))), 2)</f>
        <v>0</v>
      </c>
      <c r="R342">
        <f>Source!X168</f>
        <v>0</v>
      </c>
      <c r="S342">
        <f>ROUND((Source!CA168/100)*(ROUND((ROUND((Source!AF168*Source!AV168*Source!I168),2)),2)+(ROUND((ROUND(((Source!EU168)*Source!AV168*Source!I168),2)),2)+ROUND((ROUND(((Source!AE168-(Source!EU168))*Source!AV168*Source!I168),2)),2))), 2)</f>
        <v>0</v>
      </c>
      <c r="T342">
        <f>Source!Y168</f>
        <v>0</v>
      </c>
      <c r="U342">
        <f>ROUND((175/100)*((ROUND((ROUND(((Source!EU168)*Source!AV168*Source!I168),2)),2)+ROUND((ROUND(((Source!AE168-(Source!EU168))*Source!AV168*Source!I168),2)),2))), 2)</f>
        <v>0</v>
      </c>
      <c r="V342">
        <f>ROUND((0/100)*((ROUND((ROUND(((Source!EU168)*Source!AV168*Source!I168),2)*Source!BS168),2)+ROUND((ROUND(((Source!AE168-(Source!EU168))*Source!AV168*Source!I168),2)*Source!BS168),2))), 2)</f>
        <v>0</v>
      </c>
      <c r="AI342">
        <v>3</v>
      </c>
    </row>
    <row r="343" spans="1:35" ht="15">
      <c r="C343" s="33" t="s">
        <v>497</v>
      </c>
      <c r="H343" s="69">
        <f>I342+0</f>
        <v>810.3</v>
      </c>
      <c r="I343" s="69"/>
      <c r="J343" s="69">
        <f>K342+0</f>
        <v>1596.29</v>
      </c>
      <c r="K343" s="69"/>
      <c r="O343" s="27">
        <f>I342+0</f>
        <v>810.3</v>
      </c>
      <c r="P343" s="27">
        <f>K342+0</f>
        <v>1596.29</v>
      </c>
      <c r="X343">
        <f>IF(Source!BI168&lt;=1,I342-0, 0)</f>
        <v>0</v>
      </c>
      <c r="Y343">
        <f>IF(Source!BI168=2,I342-0, 0)</f>
        <v>810.3</v>
      </c>
      <c r="Z343">
        <f>IF(Source!BI168=3,I342-0, 0)</f>
        <v>0</v>
      </c>
      <c r="AA343">
        <f>IF(Source!BI168=4,I342,0)</f>
        <v>0</v>
      </c>
    </row>
    <row r="345" spans="1:35" ht="57">
      <c r="A345" s="22">
        <v>32</v>
      </c>
      <c r="B345" s="22" t="str">
        <f>Source!F169</f>
        <v>4.8-331-11</v>
      </c>
      <c r="C345" s="22" t="s">
        <v>299</v>
      </c>
      <c r="D345" s="24" t="str">
        <f>Source!H169</f>
        <v>100 М ТРАССЫ</v>
      </c>
      <c r="E345" s="23">
        <f>Source!I169</f>
        <v>0.1</v>
      </c>
      <c r="F345" s="26"/>
      <c r="G345" s="25"/>
      <c r="H345" s="23"/>
      <c r="I345" s="26"/>
      <c r="J345" s="23"/>
      <c r="K345" s="26"/>
      <c r="Q345">
        <f>ROUND((Source!BZ169/100)*(ROUND((ROUND((Source!AF169*Source!AV169*Source!I169),2)),2)+(ROUND((ROUND(((((Source!EU169*1.2)*1))*Source!AV169*Source!I169),2)),2)+ROUND((ROUND(((Source!AE169-(((Source!EU169*1.2)*1)))*Source!AV169*Source!I169),2)),2))), 2)</f>
        <v>9.06</v>
      </c>
      <c r="R345">
        <f>Source!X169</f>
        <v>523.29999999999995</v>
      </c>
      <c r="S345">
        <f>ROUND((Source!CA169/100)*(ROUND((ROUND((Source!AF169*Source!AV169*Source!I169),2)),2)+(ROUND((ROUND(((((Source!EU169*1.2)*1))*Source!AV169*Source!I169),2)),2)+ROUND((ROUND(((Source!AE169-(((Source!EU169*1.2)*1)))*Source!AV169*Source!I169),2)),2))), 2)</f>
        <v>4.76</v>
      </c>
      <c r="T345">
        <f>Source!Y169</f>
        <v>275.13</v>
      </c>
      <c r="U345">
        <f>ROUND((175/100)*((ROUND((ROUND(((((Source!EU169*1.2)*1))*Source!AV169*Source!I169),2)),2)+ROUND((ROUND(((Source!AE169-(((Source!EU169*1.2)*1)))*Source!AV169*Source!I169),2)),2))), 2)</f>
        <v>0.09</v>
      </c>
      <c r="V345">
        <f>ROUND((0/100)*((ROUND((ROUND(((((Source!EU169*1.2)*1))*Source!AV169*Source!I169),2)*Source!BS169),2)+ROUND((ROUND(((Source!AE169-(((Source!EU169*1.2)*1)))*Source!AV169*Source!I169),2)*Source!BS169),2))), 2)</f>
        <v>0</v>
      </c>
      <c r="AI345">
        <v>0</v>
      </c>
    </row>
    <row r="346" spans="1:35">
      <c r="C346" s="36" t="str">
        <f>"Объем: "&amp;Source!I169&amp;"=10/"&amp;"100"</f>
        <v>Объем: 0,1=10/100</v>
      </c>
    </row>
    <row r="347" spans="1:35" ht="28.5">
      <c r="A347" s="22"/>
      <c r="B347" s="22"/>
      <c r="C347" s="22" t="s">
        <v>485</v>
      </c>
      <c r="D347" s="24"/>
      <c r="E347" s="23"/>
      <c r="F347" s="26">
        <f>Source!AO169</f>
        <v>73.709999999999994</v>
      </c>
      <c r="G347" s="25" t="str">
        <f>Source!DG169</f>
        <v>*1,2)*1,05</v>
      </c>
      <c r="H347" s="23">
        <f>Source!AV169</f>
        <v>1</v>
      </c>
      <c r="I347" s="26">
        <f>ROUND((ROUND((Source!AF169*Source!AV169*Source!I169),2)),2)</f>
        <v>9.2899999999999991</v>
      </c>
      <c r="J347" s="23">
        <f>IF(Source!BA169&lt;&gt; 0, Source!BA169, 1)</f>
        <v>57.76</v>
      </c>
      <c r="K347" s="26">
        <f>Source!S169</f>
        <v>536.59</v>
      </c>
      <c r="W347">
        <f>I347</f>
        <v>9.2899999999999991</v>
      </c>
    </row>
    <row r="348" spans="1:35" ht="14.25">
      <c r="A348" s="22"/>
      <c r="B348" s="22"/>
      <c r="C348" s="22" t="s">
        <v>486</v>
      </c>
      <c r="D348" s="24"/>
      <c r="E348" s="23"/>
      <c r="F348" s="26">
        <f>Source!AM169</f>
        <v>2.27</v>
      </c>
      <c r="G348" s="25" t="str">
        <f>Source!DE169</f>
        <v>*1,2)*1</v>
      </c>
      <c r="H348" s="23">
        <f>Source!AV169</f>
        <v>1</v>
      </c>
      <c r="I348" s="26">
        <f>(ROUND((ROUND(((((Source!ET169*1.2)*1))*Source!AV169*Source!I169),2)),2)+ROUND((ROUND(((Source!AE169-(((Source!EU169*1.2)*1)))*Source!AV169*Source!I169),2)),2))</f>
        <v>0.27</v>
      </c>
      <c r="J348" s="23">
        <f>IF(Source!BB169&lt;&gt; 0, Source!BB169, 1)</f>
        <v>20.07</v>
      </c>
      <c r="K348" s="26">
        <f>Source!Q169</f>
        <v>5.42</v>
      </c>
    </row>
    <row r="349" spans="1:35" ht="14.25">
      <c r="A349" s="22"/>
      <c r="B349" s="22"/>
      <c r="C349" s="22" t="s">
        <v>494</v>
      </c>
      <c r="D349" s="24"/>
      <c r="E349" s="23"/>
      <c r="F349" s="26">
        <f>Source!AN169</f>
        <v>0.4</v>
      </c>
      <c r="G349" s="25" t="str">
        <f>Source!DF169</f>
        <v>*1,2)*1</v>
      </c>
      <c r="H349" s="23">
        <f>Source!AV169</f>
        <v>1</v>
      </c>
      <c r="I349" s="34">
        <f>(ROUND((ROUND(((((Source!EU169*1.2)*1))*Source!AV169*Source!I169),2)),2)+ROUND((ROUND(((Source!AE169-(((Source!EU169*1.2)*1)))*Source!AV169*Source!I169),2)),2))</f>
        <v>0.05</v>
      </c>
      <c r="J349" s="23">
        <f>IF(Source!BS169&lt;&gt; 0, Source!BS169, 1)</f>
        <v>57.76</v>
      </c>
      <c r="K349" s="34">
        <f>Source!R169</f>
        <v>2.89</v>
      </c>
      <c r="W349">
        <f>I349</f>
        <v>0.05</v>
      </c>
    </row>
    <row r="350" spans="1:35" ht="14.25">
      <c r="A350" s="22"/>
      <c r="B350" s="22"/>
      <c r="C350" s="22" t="s">
        <v>495</v>
      </c>
      <c r="D350" s="24"/>
      <c r="E350" s="23"/>
      <c r="F350" s="26">
        <f>Source!AL169</f>
        <v>9.25</v>
      </c>
      <c r="G350" s="25" t="str">
        <f>Source!DD169</f>
        <v>*1)*1</v>
      </c>
      <c r="H350" s="23">
        <f>Source!AW169</f>
        <v>1</v>
      </c>
      <c r="I350" s="26">
        <f>ROUND((ROUND((Source!AC169*Source!AW169*Source!I169),2)),2)</f>
        <v>0.93</v>
      </c>
      <c r="J350" s="23">
        <f>IF(Source!BC169&lt;&gt; 0, Source!BC169, 1)</f>
        <v>6.06</v>
      </c>
      <c r="K350" s="26">
        <f>Source!P169</f>
        <v>5.64</v>
      </c>
    </row>
    <row r="351" spans="1:35" ht="28.5">
      <c r="A351" s="22" t="s">
        <v>305</v>
      </c>
      <c r="B351" s="22" t="str">
        <f>Source!F171</f>
        <v>3449955000</v>
      </c>
      <c r="C351" s="22" t="s">
        <v>307</v>
      </c>
      <c r="D351" s="24" t="str">
        <f>Source!H171</f>
        <v>шт.</v>
      </c>
      <c r="E351" s="23">
        <f>Source!I171</f>
        <v>1.3340000000000001</v>
      </c>
      <c r="F351" s="26">
        <f>Source!AK171</f>
        <v>0</v>
      </c>
      <c r="G351" s="35" t="s">
        <v>3</v>
      </c>
      <c r="H351" s="23">
        <f>Source!AW171</f>
        <v>1</v>
      </c>
      <c r="I351" s="26">
        <f>ROUND((ROUND((Source!AC171*Source!AW171*Source!I171),2)),2)+(ROUND((ROUND(((Source!ET171)*Source!AV171*Source!I171),2)),2)+ROUND((ROUND(((Source!AE171-(Source!EU171))*Source!AV171*Source!I171),2)),2))+ROUND((ROUND((Source!AF171*Source!AV171*Source!I171),2)),2)</f>
        <v>0</v>
      </c>
      <c r="J351" s="23">
        <f>IF(Source!BC171&lt;&gt; 0, Source!BC171, 1)</f>
        <v>1</v>
      </c>
      <c r="K351" s="26">
        <f>Source!O171</f>
        <v>0</v>
      </c>
      <c r="Q351">
        <f>ROUND((Source!BZ171/100)*(ROUND((ROUND((Source!AF171*Source!AV171*Source!I171),2)),2)+(ROUND((ROUND(((Source!EU171)*Source!AV171*Source!I171),2)),2)+ROUND((ROUND(((Source!AE171-(Source!EU171))*Source!AV171*Source!I171),2)),2))), 2)</f>
        <v>0</v>
      </c>
      <c r="R351">
        <f>Source!X171</f>
        <v>0</v>
      </c>
      <c r="S351">
        <f>ROUND((Source!CA171/100)*(ROUND((ROUND((Source!AF171*Source!AV171*Source!I171),2)),2)+(ROUND((ROUND(((Source!EU171)*Source!AV171*Source!I171),2)),2)+ROUND((ROUND(((Source!AE171-(Source!EU171))*Source!AV171*Source!I171),2)),2))), 2)</f>
        <v>0</v>
      </c>
      <c r="T351">
        <f>Source!Y171</f>
        <v>0</v>
      </c>
      <c r="U351">
        <f>ROUND((175/100)*((ROUND((ROUND(((Source!EU171)*Source!AV171*Source!I171),2)),2)+ROUND((ROUND(((Source!AE171-(Source!EU171))*Source!AV171*Source!I171),2)),2))), 2)</f>
        <v>0</v>
      </c>
      <c r="V351">
        <f>ROUND((0/100)*((ROUND((ROUND(((Source!EU171)*Source!AV171*Source!I171),2)*Source!BS171),2)+ROUND((ROUND(((Source!AE171-(Source!EU171))*Source!AV171*Source!I171),2)*Source!BS171),2))), 2)</f>
        <v>0</v>
      </c>
      <c r="X351">
        <f>IF(Source!BI171&lt;=1,I351, 0)</f>
        <v>0</v>
      </c>
      <c r="Y351">
        <f>IF(Source!BI171=2,I351, 0)</f>
        <v>0</v>
      </c>
      <c r="Z351">
        <f>IF(Source!BI171=3,I351, 0)</f>
        <v>0</v>
      </c>
      <c r="AA351">
        <f>IF(Source!BI171=4,I351, 0)</f>
        <v>0</v>
      </c>
      <c r="AI351">
        <v>3</v>
      </c>
    </row>
    <row r="352" spans="1:35" ht="28.5">
      <c r="A352" s="22" t="s">
        <v>308</v>
      </c>
      <c r="B352" s="22" t="str">
        <f>Source!F172</f>
        <v>4594000000</v>
      </c>
      <c r="C352" s="22" t="s">
        <v>310</v>
      </c>
      <c r="D352" s="24" t="str">
        <f>Source!H172</f>
        <v>кг</v>
      </c>
      <c r="E352" s="23">
        <f>Source!I172</f>
        <v>8.5999999999999993E-2</v>
      </c>
      <c r="F352" s="26">
        <f>Source!AK172</f>
        <v>0</v>
      </c>
      <c r="G352" s="35" t="s">
        <v>3</v>
      </c>
      <c r="H352" s="23">
        <f>Source!AW172</f>
        <v>1</v>
      </c>
      <c r="I352" s="26">
        <f>ROUND((ROUND((Source!AC172*Source!AW172*Source!I172),2)),2)+(ROUND((ROUND(((Source!ET172)*Source!AV172*Source!I172),2)),2)+ROUND((ROUND(((Source!AE172-(Source!EU172))*Source!AV172*Source!I172),2)),2))+ROUND((ROUND((Source!AF172*Source!AV172*Source!I172),2)),2)</f>
        <v>0</v>
      </c>
      <c r="J352" s="23">
        <f>IF(Source!BC172&lt;&gt; 0, Source!BC172, 1)</f>
        <v>1</v>
      </c>
      <c r="K352" s="26">
        <f>Source!O172</f>
        <v>0</v>
      </c>
      <c r="Q352">
        <f>ROUND((Source!BZ172/100)*(ROUND((ROUND((Source!AF172*Source!AV172*Source!I172),2)),2)+(ROUND((ROUND(((Source!EU172)*Source!AV172*Source!I172),2)),2)+ROUND((ROUND(((Source!AE172-(Source!EU172))*Source!AV172*Source!I172),2)),2))), 2)</f>
        <v>0</v>
      </c>
      <c r="R352">
        <f>Source!X172</f>
        <v>0</v>
      </c>
      <c r="S352">
        <f>ROUND((Source!CA172/100)*(ROUND((ROUND((Source!AF172*Source!AV172*Source!I172),2)),2)+(ROUND((ROUND(((Source!EU172)*Source!AV172*Source!I172),2)),2)+ROUND((ROUND(((Source!AE172-(Source!EU172))*Source!AV172*Source!I172),2)),2))), 2)</f>
        <v>0</v>
      </c>
      <c r="T352">
        <f>Source!Y172</f>
        <v>0</v>
      </c>
      <c r="U352">
        <f>ROUND((175/100)*((ROUND((ROUND(((Source!EU172)*Source!AV172*Source!I172),2)),2)+ROUND((ROUND(((Source!AE172-(Source!EU172))*Source!AV172*Source!I172),2)),2))), 2)</f>
        <v>0</v>
      </c>
      <c r="V352">
        <f>ROUND((0/100)*((ROUND((ROUND(((Source!EU172)*Source!AV172*Source!I172),2)*Source!BS172),2)+ROUND((ROUND(((Source!AE172-(Source!EU172))*Source!AV172*Source!I172),2)*Source!BS172),2))), 2)</f>
        <v>0</v>
      </c>
      <c r="X352">
        <f>IF(Source!BI172&lt;=1,I352, 0)</f>
        <v>0</v>
      </c>
      <c r="Y352">
        <f>IF(Source!BI172=2,I352, 0)</f>
        <v>0</v>
      </c>
      <c r="Z352">
        <f>IF(Source!BI172=3,I352, 0)</f>
        <v>0</v>
      </c>
      <c r="AA352">
        <f>IF(Source!BI172=4,I352, 0)</f>
        <v>0</v>
      </c>
      <c r="AI352">
        <v>3</v>
      </c>
    </row>
    <row r="353" spans="1:35" ht="14.25">
      <c r="A353" s="22"/>
      <c r="B353" s="22"/>
      <c r="C353" s="22" t="s">
        <v>487</v>
      </c>
      <c r="D353" s="24" t="s">
        <v>488</v>
      </c>
      <c r="E353" s="23">
        <f>Source!BZ169</f>
        <v>97</v>
      </c>
      <c r="F353" s="26"/>
      <c r="G353" s="25"/>
      <c r="H353" s="23"/>
      <c r="I353" s="26">
        <f>SUM(Q345:Q352)</f>
        <v>9.06</v>
      </c>
      <c r="J353" s="23">
        <f>Source!AT169</f>
        <v>97</v>
      </c>
      <c r="K353" s="26">
        <f>SUM(R345:R352)</f>
        <v>523.29999999999995</v>
      </c>
    </row>
    <row r="354" spans="1:35" ht="14.25">
      <c r="A354" s="22"/>
      <c r="B354" s="22"/>
      <c r="C354" s="22" t="s">
        <v>489</v>
      </c>
      <c r="D354" s="24" t="s">
        <v>488</v>
      </c>
      <c r="E354" s="23">
        <f>Source!CA169</f>
        <v>51</v>
      </c>
      <c r="F354" s="26"/>
      <c r="G354" s="25"/>
      <c r="H354" s="23"/>
      <c r="I354" s="26">
        <f>SUM(S345:S353)</f>
        <v>4.76</v>
      </c>
      <c r="J354" s="23">
        <f>Source!AU169</f>
        <v>51</v>
      </c>
      <c r="K354" s="26">
        <f>SUM(T345:T353)</f>
        <v>275.13</v>
      </c>
    </row>
    <row r="355" spans="1:35" ht="28.5">
      <c r="A355" s="28"/>
      <c r="B355" s="28"/>
      <c r="C355" s="28" t="s">
        <v>490</v>
      </c>
      <c r="D355" s="29" t="s">
        <v>491</v>
      </c>
      <c r="E355" s="30">
        <f>Source!AQ169</f>
        <v>6.49</v>
      </c>
      <c r="F355" s="31"/>
      <c r="G355" s="32" t="str">
        <f>Source!DI169</f>
        <v>*1,2)*1,05</v>
      </c>
      <c r="H355" s="30">
        <f>Source!AV169</f>
        <v>1</v>
      </c>
      <c r="I355" s="31">
        <f>Source!U169</f>
        <v>0.81774000000000013</v>
      </c>
      <c r="J355" s="30"/>
      <c r="K355" s="31"/>
      <c r="AB355" s="27">
        <f>I355</f>
        <v>0.81774000000000013</v>
      </c>
    </row>
    <row r="356" spans="1:35" ht="15">
      <c r="C356" s="33" t="s">
        <v>492</v>
      </c>
      <c r="H356" s="69">
        <f>I347+I348+I350+I353+I354+SUM(I351:I352)-SUMIF(AI351:AI352, 5, I351:I352)-SUMIF(AI351:AI352, 6, I351:I352)</f>
        <v>24.309999999999995</v>
      </c>
      <c r="I356" s="69"/>
      <c r="J356" s="69">
        <f>K347+K348+K350+K353+K354+SUM(K351:K352)-SUMIF(AI351:AI352, 5, K351:K352)-SUMIF(AI351:AI352, 6, K351:K352)</f>
        <v>1346.08</v>
      </c>
      <c r="K356" s="69"/>
    </row>
    <row r="357" spans="1:35" ht="15" hidden="1">
      <c r="C357" s="33" t="s">
        <v>493</v>
      </c>
      <c r="H357" s="68">
        <f>SUMIF(AI351:AI352, 5, I351:I352)+SUMIF(AI351:AI352, 6, I351:I352)</f>
        <v>0</v>
      </c>
      <c r="I357" s="68"/>
      <c r="J357" s="68">
        <f>SUMIF(AI351:AI352, 5, K351:K352)+SUMIF(AI351:AI352, 6, K351:K352)</f>
        <v>0</v>
      </c>
      <c r="K357" s="68"/>
    </row>
    <row r="358" spans="1:35" ht="15">
      <c r="H358" s="68"/>
      <c r="I358" s="68"/>
      <c r="J358" s="68"/>
      <c r="K358" s="68"/>
      <c r="O358" s="27">
        <f>I347+I348+I350+I353+I354+SUM(I351:I352)</f>
        <v>24.309999999999995</v>
      </c>
      <c r="P358" s="27">
        <f>K347+K348+K350+K353+K354+SUM(K351:K352)</f>
        <v>1346.08</v>
      </c>
      <c r="X358">
        <f>IF(Source!BI169&lt;=1,I347+I348+I350+I353+I354-0, 0)</f>
        <v>0</v>
      </c>
      <c r="Y358">
        <f>IF(Source!BI169=2,I347+I348+I350+I353+I354-0, 0)</f>
        <v>24.309999999999995</v>
      </c>
      <c r="Z358">
        <f>IF(Source!BI169=3,I347+I348+I350+I353+I354-0, 0)</f>
        <v>0</v>
      </c>
      <c r="AA358">
        <f>IF(Source!BI169=4,I347+I348+I350+I353+I354,0)</f>
        <v>0</v>
      </c>
    </row>
    <row r="360" spans="1:35" ht="57">
      <c r="A360" s="28">
        <v>33</v>
      </c>
      <c r="B360" s="28" t="str">
        <f>Source!F173</f>
        <v>1.21-5-1342</v>
      </c>
      <c r="C360" s="28" t="s">
        <v>313</v>
      </c>
      <c r="D360" s="29" t="str">
        <f>Source!H173</f>
        <v>шт.</v>
      </c>
      <c r="E360" s="30">
        <f>Source!I173</f>
        <v>4</v>
      </c>
      <c r="F360" s="31">
        <f>Source!AL173</f>
        <v>153.37</v>
      </c>
      <c r="G360" s="32" t="str">
        <f>Source!DD173</f>
        <v/>
      </c>
      <c r="H360" s="30">
        <f>Source!AW173</f>
        <v>1</v>
      </c>
      <c r="I360" s="31">
        <f>ROUND((ROUND((Source!AC173*Source!AW173*Source!I173),2)),2)</f>
        <v>613.48</v>
      </c>
      <c r="J360" s="30">
        <f>IF(Source!BC173&lt;&gt; 0, Source!BC173, 1)</f>
        <v>3.66</v>
      </c>
      <c r="K360" s="31">
        <f>Source!P173</f>
        <v>2245.34</v>
      </c>
      <c r="Q360">
        <f>ROUND((Source!BZ173/100)*(ROUND((ROUND((Source!AF173*Source!AV173*Source!I173),2)),2)+(ROUND((ROUND(((Source!EU173)*Source!AV173*Source!I173),2)),2)+ROUND((ROUND(((Source!AE173-(Source!EU173))*Source!AV173*Source!I173),2)),2))), 2)</f>
        <v>0</v>
      </c>
      <c r="R360">
        <f>Source!X173</f>
        <v>0</v>
      </c>
      <c r="S360">
        <f>ROUND((Source!CA173/100)*(ROUND((ROUND((Source!AF173*Source!AV173*Source!I173),2)),2)+(ROUND((ROUND(((Source!EU173)*Source!AV173*Source!I173),2)),2)+ROUND((ROUND(((Source!AE173-(Source!EU173))*Source!AV173*Source!I173),2)),2))), 2)</f>
        <v>0</v>
      </c>
      <c r="T360">
        <f>Source!Y173</f>
        <v>0</v>
      </c>
      <c r="U360">
        <f>ROUND((175/100)*((ROUND((ROUND(((Source!EU173)*Source!AV173*Source!I173),2)),2)+ROUND((ROUND(((Source!AE173-(Source!EU173))*Source!AV173*Source!I173),2)),2))), 2)</f>
        <v>0</v>
      </c>
      <c r="V360">
        <f>ROUND((0/100)*((ROUND((ROUND(((Source!EU173)*Source!AV173*Source!I173),2)*Source!BS173),2)+ROUND((ROUND(((Source!AE173-(Source!EU173))*Source!AV173*Source!I173),2)*Source!BS173),2))), 2)</f>
        <v>0</v>
      </c>
      <c r="AI360">
        <v>3</v>
      </c>
    </row>
    <row r="361" spans="1:35" ht="15">
      <c r="C361" s="33" t="s">
        <v>497</v>
      </c>
      <c r="H361" s="69">
        <f>I360+0</f>
        <v>613.48</v>
      </c>
      <c r="I361" s="69"/>
      <c r="J361" s="69">
        <f>K360+0</f>
        <v>2245.34</v>
      </c>
      <c r="K361" s="69"/>
      <c r="O361" s="27">
        <f>I360+0</f>
        <v>613.48</v>
      </c>
      <c r="P361" s="27">
        <f>K360+0</f>
        <v>2245.34</v>
      </c>
      <c r="X361">
        <f>IF(Source!BI173&lt;=1,I360-0, 0)</f>
        <v>0</v>
      </c>
      <c r="Y361">
        <f>IF(Source!BI173=2,I360-0, 0)</f>
        <v>613.48</v>
      </c>
      <c r="Z361">
        <f>IF(Source!BI173=3,I360-0, 0)</f>
        <v>0</v>
      </c>
      <c r="AA361">
        <f>IF(Source!BI173=4,I360,0)</f>
        <v>0</v>
      </c>
    </row>
    <row r="363" spans="1:35" ht="57">
      <c r="A363" s="22">
        <v>34</v>
      </c>
      <c r="B363" s="22" t="str">
        <f>Source!F174</f>
        <v>3.9-33-4</v>
      </c>
      <c r="C363" s="22" t="s">
        <v>317</v>
      </c>
      <c r="D363" s="24" t="str">
        <f>Source!H174</f>
        <v>1 т конструкций</v>
      </c>
      <c r="E363" s="23">
        <f>Source!I174</f>
        <v>3.6800000000000001E-3</v>
      </c>
      <c r="F363" s="26"/>
      <c r="G363" s="25"/>
      <c r="H363" s="23"/>
      <c r="I363" s="26"/>
      <c r="J363" s="23"/>
      <c r="K363" s="26"/>
      <c r="Q363">
        <f>ROUND((Source!BZ174/100)*(ROUND((ROUND((Source!AF174*Source!AV174*Source!I174),2)),2)+(ROUND((ROUND((((Source!EU174*1.2))*Source!AV174*Source!I174),2)),2)+ROUND((ROUND(((Source!AE174-((Source!EU174*1.2)))*Source!AV174*Source!I174),2)),2))), 2)</f>
        <v>4.91</v>
      </c>
      <c r="R363">
        <f>Source!X174</f>
        <v>283.35000000000002</v>
      </c>
      <c r="S363">
        <f>ROUND((Source!CA174/100)*(ROUND((ROUND((Source!AF174*Source!AV174*Source!I174),2)),2)+(ROUND((ROUND((((Source!EU174*1.2))*Source!AV174*Source!I174),2)),2)+ROUND((ROUND(((Source!AE174-((Source!EU174*1.2)))*Source!AV174*Source!I174),2)),2))), 2)</f>
        <v>3.1</v>
      </c>
      <c r="T363">
        <f>Source!Y174</f>
        <v>178.78</v>
      </c>
      <c r="U363">
        <f>ROUND((175/100)*((ROUND((ROUND((((Source!EU174*1.2))*Source!AV174*Source!I174),2)),2)+ROUND((ROUND(((Source!AE174-((Source!EU174*1.2)))*Source!AV174*Source!I174),2)),2))), 2)</f>
        <v>0.04</v>
      </c>
      <c r="V363">
        <f>ROUND((0/100)*((ROUND((ROUND((((Source!EU174*1.2))*Source!AV174*Source!I174),2)*Source!BS174),2)+ROUND((ROUND(((Source!AE174-((Source!EU174*1.2)))*Source!AV174*Source!I174),2)*Source!BS174),2))), 2)</f>
        <v>0</v>
      </c>
      <c r="AI363">
        <v>0</v>
      </c>
    </row>
    <row r="364" spans="1:35">
      <c r="C364" s="36" t="str">
        <f>"Объем: "&amp;Source!I174&amp;"=0,46*"&amp;"8/"&amp;"1000"</f>
        <v>Объем: 0,00368=0,46*8/1000</v>
      </c>
    </row>
    <row r="365" spans="1:35" ht="14.25">
      <c r="A365" s="22"/>
      <c r="B365" s="22"/>
      <c r="C365" s="22" t="s">
        <v>485</v>
      </c>
      <c r="D365" s="24"/>
      <c r="E365" s="23"/>
      <c r="F365" s="26">
        <f>Source!AO174</f>
        <v>1318.68</v>
      </c>
      <c r="G365" s="25" t="str">
        <f>Source!DG174</f>
        <v>*1,2</v>
      </c>
      <c r="H365" s="23">
        <f>Source!AV174</f>
        <v>1</v>
      </c>
      <c r="I365" s="26">
        <f>ROUND((ROUND((Source!AF174*Source!AV174*Source!I174),2)),2)</f>
        <v>5.82</v>
      </c>
      <c r="J365" s="23">
        <f>IF(Source!BA174&lt;&gt; 0, Source!BA174, 1)</f>
        <v>57.76</v>
      </c>
      <c r="K365" s="26">
        <f>Source!S174</f>
        <v>336.16</v>
      </c>
      <c r="W365">
        <f>I365</f>
        <v>5.82</v>
      </c>
    </row>
    <row r="366" spans="1:35" ht="14.25">
      <c r="A366" s="22"/>
      <c r="B366" s="22"/>
      <c r="C366" s="22" t="s">
        <v>486</v>
      </c>
      <c r="D366" s="24"/>
      <c r="E366" s="23"/>
      <c r="F366" s="26">
        <f>Source!AM174</f>
        <v>94.74</v>
      </c>
      <c r="G366" s="25" t="str">
        <f>Source!DE174</f>
        <v>*1,2</v>
      </c>
      <c r="H366" s="23">
        <f>Source!AV174</f>
        <v>1</v>
      </c>
      <c r="I366" s="26">
        <f>(ROUND((ROUND((((Source!ET174*1.2))*Source!AV174*Source!I174),2)),2)+ROUND((ROUND(((Source!AE174-((Source!EU174*1.2)))*Source!AV174*Source!I174),2)),2))</f>
        <v>0.42</v>
      </c>
      <c r="J366" s="23">
        <f>IF(Source!BB174&lt;&gt; 0, Source!BB174, 1)</f>
        <v>12.62</v>
      </c>
      <c r="K366" s="26">
        <f>Source!Q174</f>
        <v>5.3</v>
      </c>
    </row>
    <row r="367" spans="1:35" ht="14.25">
      <c r="A367" s="22"/>
      <c r="B367" s="22"/>
      <c r="C367" s="22" t="s">
        <v>494</v>
      </c>
      <c r="D367" s="24"/>
      <c r="E367" s="23"/>
      <c r="F367" s="26">
        <f>Source!AN174</f>
        <v>4.43</v>
      </c>
      <c r="G367" s="25" t="str">
        <f>Source!DF174</f>
        <v>*1,2</v>
      </c>
      <c r="H367" s="23">
        <f>Source!AV174</f>
        <v>1</v>
      </c>
      <c r="I367" s="34">
        <f>(ROUND((ROUND((((Source!EU174*1.2))*Source!AV174*Source!I174),2)),2)+ROUND((ROUND(((Source!AE174-((Source!EU174*1.2)))*Source!AV174*Source!I174),2)),2))</f>
        <v>0.02</v>
      </c>
      <c r="J367" s="23">
        <f>IF(Source!BS174&lt;&gt; 0, Source!BS174, 1)</f>
        <v>57.76</v>
      </c>
      <c r="K367" s="34">
        <f>Source!R174</f>
        <v>1.1599999999999999</v>
      </c>
      <c r="W367">
        <f>I367</f>
        <v>0.02</v>
      </c>
    </row>
    <row r="368" spans="1:35" ht="14.25">
      <c r="A368" s="22"/>
      <c r="B368" s="22"/>
      <c r="C368" s="22" t="s">
        <v>495</v>
      </c>
      <c r="D368" s="24"/>
      <c r="E368" s="23"/>
      <c r="F368" s="26">
        <f>Source!AL174</f>
        <v>436.68</v>
      </c>
      <c r="G368" s="25" t="str">
        <f>Source!DD174</f>
        <v>*1</v>
      </c>
      <c r="H368" s="23">
        <f>Source!AW174</f>
        <v>1</v>
      </c>
      <c r="I368" s="26">
        <f>ROUND((ROUND((Source!AC174*Source!AW174*Source!I174),2)),2)</f>
        <v>1.61</v>
      </c>
      <c r="J368" s="23">
        <f>IF(Source!BC174&lt;&gt; 0, Source!BC174, 1)</f>
        <v>6.35</v>
      </c>
      <c r="K368" s="26">
        <f>Source!P174</f>
        <v>10.220000000000001</v>
      </c>
    </row>
    <row r="369" spans="1:35" ht="28.5">
      <c r="A369" s="22" t="s">
        <v>322</v>
      </c>
      <c r="B369" s="22" t="str">
        <f>Source!F175</f>
        <v>5263130000</v>
      </c>
      <c r="C369" s="22" t="s">
        <v>324</v>
      </c>
      <c r="D369" s="24" t="str">
        <f>Source!H175</f>
        <v>т</v>
      </c>
      <c r="E369" s="23">
        <f>Source!I175</f>
        <v>3.6800000000000001E-3</v>
      </c>
      <c r="F369" s="26">
        <f>Source!AK175</f>
        <v>0</v>
      </c>
      <c r="G369" s="35" t="s">
        <v>3</v>
      </c>
      <c r="H369" s="23">
        <f>Source!AW175</f>
        <v>1</v>
      </c>
      <c r="I369" s="26">
        <f>ROUND((ROUND((Source!AC175*Source!AW175*Source!I175),2)),2)+(ROUND((ROUND(((Source!ET175)*Source!AV175*Source!I175),2)),2)+ROUND((ROUND(((Source!AE175-(Source!EU175))*Source!AV175*Source!I175),2)),2))+ROUND((ROUND((Source!AF175*Source!AV175*Source!I175),2)),2)</f>
        <v>0</v>
      </c>
      <c r="J369" s="23">
        <f>IF(Source!BC175&lt;&gt; 0, Source!BC175, 1)</f>
        <v>1</v>
      </c>
      <c r="K369" s="26">
        <f>Source!O175</f>
        <v>0</v>
      </c>
      <c r="Q369">
        <f>ROUND((Source!BZ175/100)*(ROUND((ROUND((Source!AF175*Source!AV175*Source!I175),2)),2)+(ROUND((ROUND(((Source!EU175)*Source!AV175*Source!I175),2)),2)+ROUND((ROUND(((Source!AE175-(Source!EU175))*Source!AV175*Source!I175),2)),2))), 2)</f>
        <v>0</v>
      </c>
      <c r="R369">
        <f>Source!X175</f>
        <v>0</v>
      </c>
      <c r="S369">
        <f>ROUND((Source!CA175/100)*(ROUND((ROUND((Source!AF175*Source!AV175*Source!I175),2)),2)+(ROUND((ROUND(((Source!EU175)*Source!AV175*Source!I175),2)),2)+ROUND((ROUND(((Source!AE175-(Source!EU175))*Source!AV175*Source!I175),2)),2))), 2)</f>
        <v>0</v>
      </c>
      <c r="T369">
        <f>Source!Y175</f>
        <v>0</v>
      </c>
      <c r="U369">
        <f>ROUND((175/100)*((ROUND((ROUND(((Source!EU175)*Source!AV175*Source!I175),2)),2)+ROUND((ROUND(((Source!AE175-(Source!EU175))*Source!AV175*Source!I175),2)),2))), 2)</f>
        <v>0</v>
      </c>
      <c r="V369">
        <f>ROUND((0/100)*((ROUND((ROUND(((Source!EU175)*Source!AV175*Source!I175),2)*Source!BS175),2)+ROUND((ROUND(((Source!AE175-(Source!EU175))*Source!AV175*Source!I175),2)*Source!BS175),2))), 2)</f>
        <v>0</v>
      </c>
      <c r="X369">
        <f>IF(Source!BI175&lt;=1,I369, 0)</f>
        <v>0</v>
      </c>
      <c r="Y369">
        <f>IF(Source!BI175=2,I369, 0)</f>
        <v>0</v>
      </c>
      <c r="Z369">
        <f>IF(Source!BI175=3,I369, 0)</f>
        <v>0</v>
      </c>
      <c r="AA369">
        <f>IF(Source!BI175=4,I369, 0)</f>
        <v>0</v>
      </c>
      <c r="AI369">
        <v>3</v>
      </c>
    </row>
    <row r="370" spans="1:35" ht="14.25">
      <c r="A370" s="22"/>
      <c r="B370" s="22"/>
      <c r="C370" s="22" t="s">
        <v>487</v>
      </c>
      <c r="D370" s="24" t="s">
        <v>488</v>
      </c>
      <c r="E370" s="23">
        <f>Source!BZ174</f>
        <v>84</v>
      </c>
      <c r="F370" s="26"/>
      <c r="G370" s="25"/>
      <c r="H370" s="23"/>
      <c r="I370" s="26">
        <f>SUM(Q363:Q369)</f>
        <v>4.91</v>
      </c>
      <c r="J370" s="23">
        <f>Source!AT174</f>
        <v>84</v>
      </c>
      <c r="K370" s="26">
        <f>SUM(R363:R369)</f>
        <v>283.35000000000002</v>
      </c>
    </row>
    <row r="371" spans="1:35" ht="14.25">
      <c r="A371" s="22"/>
      <c r="B371" s="22"/>
      <c r="C371" s="22" t="s">
        <v>489</v>
      </c>
      <c r="D371" s="24" t="s">
        <v>488</v>
      </c>
      <c r="E371" s="23">
        <f>Source!CA174</f>
        <v>53</v>
      </c>
      <c r="F371" s="26"/>
      <c r="G371" s="25"/>
      <c r="H371" s="23"/>
      <c r="I371" s="26">
        <f>SUM(S363:S370)</f>
        <v>3.1</v>
      </c>
      <c r="J371" s="23">
        <f>Source!AU174</f>
        <v>53</v>
      </c>
      <c r="K371" s="26">
        <f>SUM(T363:T370)</f>
        <v>178.78</v>
      </c>
    </row>
    <row r="372" spans="1:35" ht="14.25">
      <c r="A372" s="28"/>
      <c r="B372" s="28"/>
      <c r="C372" s="28" t="s">
        <v>490</v>
      </c>
      <c r="D372" s="29" t="s">
        <v>491</v>
      </c>
      <c r="E372" s="30">
        <f>Source!AQ174</f>
        <v>99.9</v>
      </c>
      <c r="F372" s="31"/>
      <c r="G372" s="32" t="str">
        <f>Source!DI174</f>
        <v>*1,2</v>
      </c>
      <c r="H372" s="30">
        <f>Source!AV174</f>
        <v>1</v>
      </c>
      <c r="I372" s="31">
        <f>Source!U174</f>
        <v>0.44115840000000001</v>
      </c>
      <c r="J372" s="30"/>
      <c r="K372" s="31"/>
      <c r="AB372" s="27">
        <f>I372</f>
        <v>0.44115840000000001</v>
      </c>
    </row>
    <row r="373" spans="1:35" ht="15">
      <c r="C373" s="33" t="s">
        <v>492</v>
      </c>
      <c r="H373" s="69">
        <f>I365+I366+I368+I370+I371+SUM(I369:I369)-SUMIF(AI369:AI369, 5, I369:I369)-SUMIF(AI369:AI369, 6, I369:I369)</f>
        <v>15.860000000000001</v>
      </c>
      <c r="I373" s="69"/>
      <c r="J373" s="69">
        <f>K365+K366+K368+K370+K371+SUM(K369:K369)-SUMIF(AI369:AI369, 5, K369:K369)-SUMIF(AI369:AI369, 6, K369:K369)</f>
        <v>813.81000000000006</v>
      </c>
      <c r="K373" s="69"/>
    </row>
    <row r="374" spans="1:35" ht="15" hidden="1">
      <c r="C374" s="33" t="s">
        <v>493</v>
      </c>
      <c r="H374" s="68">
        <f>SUMIF(AI369:AI369, 5, I369:I369)+SUMIF(AI369:AI369, 6, I369:I369)</f>
        <v>0</v>
      </c>
      <c r="I374" s="68"/>
      <c r="J374" s="68">
        <f>SUMIF(AI369:AI369, 5, K369:K369)+SUMIF(AI369:AI369, 6, K369:K369)</f>
        <v>0</v>
      </c>
      <c r="K374" s="68"/>
    </row>
    <row r="375" spans="1:35" ht="15">
      <c r="H375" s="68"/>
      <c r="I375" s="68"/>
      <c r="J375" s="68"/>
      <c r="K375" s="68"/>
      <c r="O375" s="27">
        <f>I365+I366+I368+I370+I371+SUM(I369:I369)</f>
        <v>15.860000000000001</v>
      </c>
      <c r="P375" s="27">
        <f>K365+K366+K368+K370+K371+SUM(K369:K369)</f>
        <v>813.81000000000006</v>
      </c>
      <c r="X375">
        <f>IF(Source!BI174&lt;=1,I365+I366+I368+I370+I371-0, 0)</f>
        <v>15.860000000000001</v>
      </c>
      <c r="Y375">
        <f>IF(Source!BI174=2,I365+I366+I368+I370+I371-0, 0)</f>
        <v>0</v>
      </c>
      <c r="Z375">
        <f>IF(Source!BI174=3,I365+I366+I368+I370+I371-0, 0)</f>
        <v>0</v>
      </c>
      <c r="AA375">
        <f>IF(Source!BI174=4,I365+I366+I368+I370+I371,0)</f>
        <v>0</v>
      </c>
    </row>
    <row r="377" spans="1:35" ht="42.75">
      <c r="A377" s="28">
        <v>35</v>
      </c>
      <c r="B377" s="28" t="str">
        <f>Source!F176</f>
        <v>1.3-4-176</v>
      </c>
      <c r="C377" s="28" t="s">
        <v>327</v>
      </c>
      <c r="D377" s="29" t="str">
        <f>Source!H176</f>
        <v>шт.</v>
      </c>
      <c r="E377" s="30">
        <f>Source!I176</f>
        <v>8</v>
      </c>
      <c r="F377" s="31">
        <f>Source!AL176</f>
        <v>13.23</v>
      </c>
      <c r="G377" s="32" t="str">
        <f>Source!DD176</f>
        <v/>
      </c>
      <c r="H377" s="30">
        <f>Source!AW176</f>
        <v>1</v>
      </c>
      <c r="I377" s="31">
        <f>ROUND((ROUND((Source!AC176*Source!AW176*Source!I176),2)),2)</f>
        <v>105.84</v>
      </c>
      <c r="J377" s="30">
        <f>IF(Source!BC176&lt;&gt; 0, Source!BC176, 1)</f>
        <v>14.23</v>
      </c>
      <c r="K377" s="31">
        <f>Source!P176</f>
        <v>1506.1</v>
      </c>
      <c r="Q377">
        <f>ROUND((Source!BZ176/100)*(ROUND((ROUND((Source!AF176*Source!AV176*Source!I176),2)),2)+(ROUND((ROUND(((Source!EU176)*Source!AV176*Source!I176),2)),2)+ROUND((ROUND(((Source!AE176-(Source!EU176))*Source!AV176*Source!I176),2)),2))), 2)</f>
        <v>0</v>
      </c>
      <c r="R377">
        <f>Source!X176</f>
        <v>0</v>
      </c>
      <c r="S377">
        <f>ROUND((Source!CA176/100)*(ROUND((ROUND((Source!AF176*Source!AV176*Source!I176),2)),2)+(ROUND((ROUND(((Source!EU176)*Source!AV176*Source!I176),2)),2)+ROUND((ROUND(((Source!AE176-(Source!EU176))*Source!AV176*Source!I176),2)),2))), 2)</f>
        <v>0</v>
      </c>
      <c r="T377">
        <f>Source!Y176</f>
        <v>0</v>
      </c>
      <c r="U377">
        <f>ROUND((175/100)*((ROUND((ROUND(((Source!EU176)*Source!AV176*Source!I176),2)),2)+ROUND((ROUND(((Source!AE176-(Source!EU176))*Source!AV176*Source!I176),2)),2))), 2)</f>
        <v>0</v>
      </c>
      <c r="V377">
        <f>ROUND((0/100)*((ROUND((ROUND(((Source!EU176)*Source!AV176*Source!I176),2)*Source!BS176),2)+ROUND((ROUND(((Source!AE176-(Source!EU176))*Source!AV176*Source!I176),2)*Source!BS176),2))), 2)</f>
        <v>0</v>
      </c>
      <c r="AI377">
        <v>3</v>
      </c>
    </row>
    <row r="378" spans="1:35" ht="15">
      <c r="C378" s="33" t="s">
        <v>497</v>
      </c>
      <c r="H378" s="69">
        <f>I377+0</f>
        <v>105.84</v>
      </c>
      <c r="I378" s="69"/>
      <c r="J378" s="69">
        <f>K377+0</f>
        <v>1506.1</v>
      </c>
      <c r="K378" s="69"/>
      <c r="O378" s="27">
        <f>I377+0</f>
        <v>105.84</v>
      </c>
      <c r="P378" s="27">
        <f>K377+0</f>
        <v>1506.1</v>
      </c>
      <c r="X378">
        <f>IF(Source!BI176&lt;=1,I377-0, 0)</f>
        <v>105.84</v>
      </c>
      <c r="Y378">
        <f>IF(Source!BI176=2,I377-0, 0)</f>
        <v>0</v>
      </c>
      <c r="Z378">
        <f>IF(Source!BI176=3,I377-0, 0)</f>
        <v>0</v>
      </c>
      <c r="AA378">
        <f>IF(Source!BI176=4,I377,0)</f>
        <v>0</v>
      </c>
    </row>
    <row r="380" spans="1:35" ht="28.5">
      <c r="A380" s="22">
        <v>36</v>
      </c>
      <c r="B380" s="22" t="str">
        <f>Source!F177</f>
        <v>4.8-280-1</v>
      </c>
      <c r="C380" s="22" t="s">
        <v>209</v>
      </c>
      <c r="D380" s="24" t="str">
        <f>Source!H177</f>
        <v>100 м</v>
      </c>
      <c r="E380" s="23">
        <f>Source!I177</f>
        <v>0.25</v>
      </c>
      <c r="F380" s="26"/>
      <c r="G380" s="25"/>
      <c r="H380" s="23"/>
      <c r="I380" s="26"/>
      <c r="J380" s="23"/>
      <c r="K380" s="26"/>
      <c r="Q380">
        <f>ROUND((Source!BZ177/100)*(ROUND((ROUND((Source!AF177*Source!AV177*Source!I177),2)),2)+(ROUND((ROUND(((((Source!EU177*1.2)*1))*Source!AV177*Source!I177),2)),2)+ROUND((ROUND(((Source!AE177-(((Source!EU177*1.2)*1)))*Source!AV177*Source!I177),2)),2))), 2)</f>
        <v>124.97</v>
      </c>
      <c r="R380">
        <f>Source!X177</f>
        <v>7217.98</v>
      </c>
      <c r="S380">
        <f>ROUND((Source!CA177/100)*(ROUND((ROUND((Source!AF177*Source!AV177*Source!I177),2)),2)+(ROUND((ROUND(((((Source!EU177*1.2)*1))*Source!AV177*Source!I177),2)),2)+ROUND((ROUND(((Source!AE177-(((Source!EU177*1.2)*1)))*Source!AV177*Source!I177),2)),2))), 2)</f>
        <v>65.7</v>
      </c>
      <c r="T380">
        <f>Source!Y177</f>
        <v>3795.02</v>
      </c>
      <c r="U380">
        <f>ROUND((175/100)*((ROUND((ROUND(((((Source!EU177*1.2)*1))*Source!AV177*Source!I177),2)),2)+ROUND((ROUND(((Source!AE177-(((Source!EU177*1.2)*1)))*Source!AV177*Source!I177),2)),2))), 2)</f>
        <v>1.93</v>
      </c>
      <c r="V380">
        <f>ROUND((0/100)*((ROUND((ROUND(((((Source!EU177*1.2)*1))*Source!AV177*Source!I177),2)*Source!BS177),2)+ROUND((ROUND(((Source!AE177-(((Source!EU177*1.2)*1)))*Source!AV177*Source!I177),2)*Source!BS177),2))), 2)</f>
        <v>0</v>
      </c>
      <c r="AI380">
        <v>0</v>
      </c>
    </row>
    <row r="381" spans="1:35">
      <c r="C381" s="36" t="str">
        <f>"Объем: "&amp;Source!I177&amp;"=25/"&amp;"100"</f>
        <v>Объем: 0,25=25/100</v>
      </c>
    </row>
    <row r="382" spans="1:35" ht="28.5">
      <c r="A382" s="22"/>
      <c r="B382" s="22"/>
      <c r="C382" s="22" t="s">
        <v>485</v>
      </c>
      <c r="D382" s="24"/>
      <c r="E382" s="23"/>
      <c r="F382" s="26">
        <f>Source!AO177</f>
        <v>405.5</v>
      </c>
      <c r="G382" s="25" t="str">
        <f>Source!DG177</f>
        <v>*1,2)*1,05</v>
      </c>
      <c r="H382" s="23">
        <f>Source!AV177</f>
        <v>1</v>
      </c>
      <c r="I382" s="26">
        <f>ROUND((ROUND((Source!AF177*Source!AV177*Source!I177),2)),2)</f>
        <v>127.73</v>
      </c>
      <c r="J382" s="23">
        <f>IF(Source!BA177&lt;&gt; 0, Source!BA177, 1)</f>
        <v>57.76</v>
      </c>
      <c r="K382" s="26">
        <f>Source!S177</f>
        <v>7377.68</v>
      </c>
      <c r="W382">
        <f>I382</f>
        <v>127.73</v>
      </c>
    </row>
    <row r="383" spans="1:35" ht="14.25">
      <c r="A383" s="22"/>
      <c r="B383" s="22"/>
      <c r="C383" s="22" t="s">
        <v>486</v>
      </c>
      <c r="D383" s="24"/>
      <c r="E383" s="23"/>
      <c r="F383" s="26">
        <f>Source!AM177</f>
        <v>24.51</v>
      </c>
      <c r="G383" s="25" t="str">
        <f>Source!DE177</f>
        <v>*1,2)*1</v>
      </c>
      <c r="H383" s="23">
        <f>Source!AV177</f>
        <v>1</v>
      </c>
      <c r="I383" s="26">
        <f>(ROUND((ROUND(((((Source!ET177*1.2)*1))*Source!AV177*Source!I177),2)),2)+ROUND((ROUND(((Source!AE177-(((Source!EU177*1.2)*1)))*Source!AV177*Source!I177),2)),2))</f>
        <v>7.35</v>
      </c>
      <c r="J383" s="23">
        <f>IF(Source!BB177&lt;&gt; 0, Source!BB177, 1)</f>
        <v>15.08</v>
      </c>
      <c r="K383" s="26">
        <f>Source!Q177</f>
        <v>110.84</v>
      </c>
    </row>
    <row r="384" spans="1:35" ht="14.25">
      <c r="A384" s="22"/>
      <c r="B384" s="22"/>
      <c r="C384" s="22" t="s">
        <v>494</v>
      </c>
      <c r="D384" s="24"/>
      <c r="E384" s="23"/>
      <c r="F384" s="26">
        <f>Source!AN177</f>
        <v>3.66</v>
      </c>
      <c r="G384" s="25" t="str">
        <f>Source!DF177</f>
        <v>*1,2)*1</v>
      </c>
      <c r="H384" s="23">
        <f>Source!AV177</f>
        <v>1</v>
      </c>
      <c r="I384" s="34">
        <f>(ROUND((ROUND(((((Source!EU177*1.2)*1))*Source!AV177*Source!I177),2)),2)+ROUND((ROUND(((Source!AE177-(((Source!EU177*1.2)*1)))*Source!AV177*Source!I177),2)),2))</f>
        <v>1.1000000000000001</v>
      </c>
      <c r="J384" s="23">
        <f>IF(Source!BS177&lt;&gt; 0, Source!BS177, 1)</f>
        <v>57.76</v>
      </c>
      <c r="K384" s="34">
        <f>Source!R177</f>
        <v>63.54</v>
      </c>
      <c r="W384">
        <f>I384</f>
        <v>1.1000000000000001</v>
      </c>
    </row>
    <row r="385" spans="1:35" ht="14.25">
      <c r="A385" s="22"/>
      <c r="B385" s="22"/>
      <c r="C385" s="22" t="s">
        <v>495</v>
      </c>
      <c r="D385" s="24"/>
      <c r="E385" s="23"/>
      <c r="F385" s="26">
        <f>Source!AL177</f>
        <v>1018.27</v>
      </c>
      <c r="G385" s="25" t="str">
        <f>Source!DD177</f>
        <v>*1)*1</v>
      </c>
      <c r="H385" s="23">
        <f>Source!AW177</f>
        <v>1</v>
      </c>
      <c r="I385" s="26">
        <f>ROUND((ROUND((Source!AC177*Source!AW177*Source!I177),2)),2)</f>
        <v>254.57</v>
      </c>
      <c r="J385" s="23">
        <f>IF(Source!BC177&lt;&gt; 0, Source!BC177, 1)</f>
        <v>2.46</v>
      </c>
      <c r="K385" s="26">
        <f>Source!P177</f>
        <v>626.24</v>
      </c>
    </row>
    <row r="386" spans="1:35" ht="14.25">
      <c r="A386" s="22"/>
      <c r="B386" s="22"/>
      <c r="C386" s="22" t="s">
        <v>487</v>
      </c>
      <c r="D386" s="24" t="s">
        <v>488</v>
      </c>
      <c r="E386" s="23">
        <f>Source!BZ177</f>
        <v>97</v>
      </c>
      <c r="F386" s="26"/>
      <c r="G386" s="25"/>
      <c r="H386" s="23"/>
      <c r="I386" s="26">
        <f>SUM(Q380:Q385)</f>
        <v>124.97</v>
      </c>
      <c r="J386" s="23">
        <f>Source!AT177</f>
        <v>97</v>
      </c>
      <c r="K386" s="26">
        <f>SUM(R380:R385)</f>
        <v>7217.98</v>
      </c>
    </row>
    <row r="387" spans="1:35" ht="14.25">
      <c r="A387" s="22"/>
      <c r="B387" s="22"/>
      <c r="C387" s="22" t="s">
        <v>489</v>
      </c>
      <c r="D387" s="24" t="s">
        <v>488</v>
      </c>
      <c r="E387" s="23">
        <f>Source!CA177</f>
        <v>51</v>
      </c>
      <c r="F387" s="26"/>
      <c r="G387" s="25"/>
      <c r="H387" s="23"/>
      <c r="I387" s="26">
        <f>SUM(S380:S386)</f>
        <v>65.7</v>
      </c>
      <c r="J387" s="23">
        <f>Source!AU177</f>
        <v>51</v>
      </c>
      <c r="K387" s="26">
        <f>SUM(T380:T386)</f>
        <v>3795.02</v>
      </c>
    </row>
    <row r="388" spans="1:35" ht="28.5">
      <c r="A388" s="28"/>
      <c r="B388" s="28"/>
      <c r="C388" s="28" t="s">
        <v>490</v>
      </c>
      <c r="D388" s="29" t="s">
        <v>491</v>
      </c>
      <c r="E388" s="30">
        <f>Source!AQ177</f>
        <v>33.79</v>
      </c>
      <c r="F388" s="31"/>
      <c r="G388" s="32" t="str">
        <f>Source!DI177</f>
        <v>*1,2)*1,05</v>
      </c>
      <c r="H388" s="30">
        <f>Source!AV177</f>
        <v>1</v>
      </c>
      <c r="I388" s="31">
        <f>Source!U177</f>
        <v>10.643849999999999</v>
      </c>
      <c r="J388" s="30"/>
      <c r="K388" s="31"/>
      <c r="AB388" s="27">
        <f>I388</f>
        <v>10.643849999999999</v>
      </c>
    </row>
    <row r="389" spans="1:35" ht="15">
      <c r="C389" s="33" t="s">
        <v>492</v>
      </c>
      <c r="H389" s="69">
        <f>I382+I383+I385+I386+I387+0-0-0</f>
        <v>580.32000000000005</v>
      </c>
      <c r="I389" s="69"/>
      <c r="J389" s="69">
        <f>K382+K383+K385+K386+K387+0-0-0</f>
        <v>19127.759999999998</v>
      </c>
      <c r="K389" s="69"/>
    </row>
    <row r="390" spans="1:35" ht="15" hidden="1">
      <c r="C390" s="33" t="s">
        <v>493</v>
      </c>
      <c r="H390" s="68">
        <f>0+0</f>
        <v>0</v>
      </c>
      <c r="I390" s="68"/>
      <c r="J390" s="68">
        <f>0+0</f>
        <v>0</v>
      </c>
      <c r="K390" s="68"/>
    </row>
    <row r="391" spans="1:35" ht="15">
      <c r="H391" s="68"/>
      <c r="I391" s="68"/>
      <c r="J391" s="68"/>
      <c r="K391" s="68"/>
      <c r="O391" s="27">
        <f>I382+I383+I385+I386+I387+0</f>
        <v>580.32000000000005</v>
      </c>
      <c r="P391" s="27">
        <f>K382+K383+K385+K386+K387+0</f>
        <v>19127.759999999998</v>
      </c>
      <c r="X391">
        <f>IF(Source!BI177&lt;=1,I382+I383+I385+I386+I387-0, 0)</f>
        <v>0</v>
      </c>
      <c r="Y391">
        <f>IF(Source!BI177=2,I382+I383+I385+I386+I387-0, 0)</f>
        <v>580.32000000000005</v>
      </c>
      <c r="Z391">
        <f>IF(Source!BI177=3,I382+I383+I385+I386+I387-0, 0)</f>
        <v>0</v>
      </c>
      <c r="AA391">
        <f>IF(Source!BI177=4,I382+I383+I385+I386+I387,0)</f>
        <v>0</v>
      </c>
    </row>
    <row r="393" spans="1:35" ht="28.5">
      <c r="A393" s="22">
        <v>37</v>
      </c>
      <c r="B393" s="22" t="str">
        <f>Source!F185</f>
        <v>4.8-162-2</v>
      </c>
      <c r="C393" s="22" t="s">
        <v>237</v>
      </c>
      <c r="D393" s="24" t="str">
        <f>Source!H185</f>
        <v>100 м</v>
      </c>
      <c r="E393" s="23">
        <f>Source!I185</f>
        <v>0.25</v>
      </c>
      <c r="F393" s="26"/>
      <c r="G393" s="25"/>
      <c r="H393" s="23"/>
      <c r="I393" s="26"/>
      <c r="J393" s="23"/>
      <c r="K393" s="26"/>
      <c r="Q393">
        <f>ROUND((Source!BZ185/100)*(ROUND((ROUND((Source!AF185*Source!AV185*Source!I185),2)),2)+(ROUND((ROUND(((((Source!EU185*1.2)*1))*Source!AV185*Source!I185),2)),2)+ROUND((ROUND(((Source!AE185-(((Source!EU185*1.2)*1)))*Source!AV185*Source!I185),2)),2))), 2)</f>
        <v>15.62</v>
      </c>
      <c r="R393">
        <f>Source!X185</f>
        <v>902.03</v>
      </c>
      <c r="S393">
        <f>ROUND((Source!CA185/100)*(ROUND((ROUND((Source!AF185*Source!AV185*Source!I185),2)),2)+(ROUND((ROUND(((((Source!EU185*1.2)*1))*Source!AV185*Source!I185),2)),2)+ROUND((ROUND(((Source!AE185-(((Source!EU185*1.2)*1)))*Source!AV185*Source!I185),2)),2))), 2)</f>
        <v>8.2100000000000009</v>
      </c>
      <c r="T393">
        <f>Source!Y185</f>
        <v>474.26</v>
      </c>
      <c r="U393">
        <f>ROUND((175/100)*((ROUND((ROUND(((((Source!EU185*1.2)*1))*Source!AV185*Source!I185),2)),2)+ROUND((ROUND(((Source!AE185-(((Source!EU185*1.2)*1)))*Source!AV185*Source!I185),2)),2))), 2)</f>
        <v>0.19</v>
      </c>
      <c r="V393">
        <f>ROUND((0/100)*((ROUND((ROUND(((((Source!EU185*1.2)*1))*Source!AV185*Source!I185),2)*Source!BS185),2)+ROUND((ROUND(((Source!AE185-(((Source!EU185*1.2)*1)))*Source!AV185*Source!I185),2)*Source!BS185),2))), 2)</f>
        <v>0</v>
      </c>
      <c r="AI393">
        <v>0</v>
      </c>
    </row>
    <row r="394" spans="1:35">
      <c r="C394" s="36" t="str">
        <f>"Объем: "&amp;Source!I185&amp;"=25/"&amp;"100"</f>
        <v>Объем: 0,25=25/100</v>
      </c>
    </row>
    <row r="395" spans="1:35" ht="28.5">
      <c r="A395" s="22"/>
      <c r="B395" s="22"/>
      <c r="C395" s="22" t="s">
        <v>485</v>
      </c>
      <c r="D395" s="24"/>
      <c r="E395" s="23"/>
      <c r="F395" s="26">
        <f>Source!AO185</f>
        <v>50.76</v>
      </c>
      <c r="G395" s="25" t="str">
        <f>Source!DG185</f>
        <v>*1,2)*1,05</v>
      </c>
      <c r="H395" s="23">
        <f>Source!AV185</f>
        <v>1</v>
      </c>
      <c r="I395" s="26">
        <f>ROUND((ROUND((Source!AF185*Source!AV185*Source!I185),2)),2)</f>
        <v>15.99</v>
      </c>
      <c r="J395" s="23">
        <f>IF(Source!BA185&lt;&gt; 0, Source!BA185, 1)</f>
        <v>57.76</v>
      </c>
      <c r="K395" s="26">
        <f>Source!S185</f>
        <v>923.58</v>
      </c>
      <c r="W395">
        <f>I395</f>
        <v>15.99</v>
      </c>
    </row>
    <row r="396" spans="1:35" ht="14.25">
      <c r="A396" s="22"/>
      <c r="B396" s="22"/>
      <c r="C396" s="22" t="s">
        <v>486</v>
      </c>
      <c r="D396" s="24"/>
      <c r="E396" s="23"/>
      <c r="F396" s="26">
        <f>Source!AM185</f>
        <v>2.4900000000000002</v>
      </c>
      <c r="G396" s="25" t="str">
        <f>Source!DE185</f>
        <v>*1,2)*1</v>
      </c>
      <c r="H396" s="23">
        <f>Source!AV185</f>
        <v>1</v>
      </c>
      <c r="I396" s="26">
        <f>(ROUND((ROUND(((((Source!ET185*1.2)*1))*Source!AV185*Source!I185),2)),2)+ROUND((ROUND(((Source!AE185-(((Source!EU185*1.2)*1)))*Source!AV185*Source!I185),2)),2))</f>
        <v>0.75</v>
      </c>
      <c r="J396" s="23">
        <f>IF(Source!BB185&lt;&gt; 0, Source!BB185, 1)</f>
        <v>18.04</v>
      </c>
      <c r="K396" s="26">
        <f>Source!Q185</f>
        <v>13.53</v>
      </c>
    </row>
    <row r="397" spans="1:35" ht="14.25">
      <c r="A397" s="22"/>
      <c r="B397" s="22"/>
      <c r="C397" s="22" t="s">
        <v>494</v>
      </c>
      <c r="D397" s="24"/>
      <c r="E397" s="23"/>
      <c r="F397" s="26">
        <f>Source!AN185</f>
        <v>0.38</v>
      </c>
      <c r="G397" s="25" t="str">
        <f>Source!DF185</f>
        <v>*1,2)*1</v>
      </c>
      <c r="H397" s="23">
        <f>Source!AV185</f>
        <v>1</v>
      </c>
      <c r="I397" s="34">
        <f>(ROUND((ROUND(((((Source!EU185*1.2)*1))*Source!AV185*Source!I185),2)),2)+ROUND((ROUND(((Source!AE185-(((Source!EU185*1.2)*1)))*Source!AV185*Source!I185),2)),2))</f>
        <v>0.11</v>
      </c>
      <c r="J397" s="23">
        <f>IF(Source!BS185&lt;&gt; 0, Source!BS185, 1)</f>
        <v>57.76</v>
      </c>
      <c r="K397" s="34">
        <f>Source!R185</f>
        <v>6.35</v>
      </c>
      <c r="W397">
        <f>I397</f>
        <v>0.11</v>
      </c>
    </row>
    <row r="398" spans="1:35" ht="14.25">
      <c r="A398" s="22"/>
      <c r="B398" s="22"/>
      <c r="C398" s="22" t="s">
        <v>495</v>
      </c>
      <c r="D398" s="24"/>
      <c r="E398" s="23"/>
      <c r="F398" s="26">
        <f>Source!AL185</f>
        <v>102.24</v>
      </c>
      <c r="G398" s="25" t="str">
        <f>Source!DD185</f>
        <v>*1)*1</v>
      </c>
      <c r="H398" s="23">
        <f>Source!AW185</f>
        <v>1</v>
      </c>
      <c r="I398" s="26">
        <f>ROUND((ROUND((Source!AC185*Source!AW185*Source!I185),2)),2)</f>
        <v>25.56</v>
      </c>
      <c r="J398" s="23">
        <f>IF(Source!BC185&lt;&gt; 0, Source!BC185, 1)</f>
        <v>7.74</v>
      </c>
      <c r="K398" s="26">
        <f>Source!P185</f>
        <v>197.83</v>
      </c>
    </row>
    <row r="399" spans="1:35" ht="28.5">
      <c r="A399" s="22" t="s">
        <v>338</v>
      </c>
      <c r="B399" s="22" t="str">
        <f>Source!F186</f>
        <v>3500000000</v>
      </c>
      <c r="C399" s="22" t="s">
        <v>241</v>
      </c>
      <c r="D399" s="24" t="str">
        <f>Source!H186</f>
        <v>км</v>
      </c>
      <c r="E399" s="23">
        <f>Source!I186</f>
        <v>2.5499999999999998E-2</v>
      </c>
      <c r="F399" s="26">
        <f>Source!AK186</f>
        <v>0</v>
      </c>
      <c r="G399" s="35" t="s">
        <v>3</v>
      </c>
      <c r="H399" s="23">
        <f>Source!AW186</f>
        <v>1</v>
      </c>
      <c r="I399" s="26">
        <f>ROUND((ROUND((Source!AC186*Source!AW186*Source!I186),2)),2)+(ROUND((ROUND(((Source!ET186)*Source!AV186*Source!I186),2)),2)+ROUND((ROUND(((Source!AE186-(Source!EU186))*Source!AV186*Source!I186),2)),2))+ROUND((ROUND((Source!AF186*Source!AV186*Source!I186),2)),2)</f>
        <v>0</v>
      </c>
      <c r="J399" s="23">
        <f>IF(Source!BC186&lt;&gt; 0, Source!BC186, 1)</f>
        <v>1</v>
      </c>
      <c r="K399" s="26">
        <f>Source!O186</f>
        <v>0</v>
      </c>
      <c r="Q399">
        <f>ROUND((Source!BZ186/100)*(ROUND((ROUND((Source!AF186*Source!AV186*Source!I186),2)),2)+(ROUND((ROUND(((Source!EU186)*Source!AV186*Source!I186),2)),2)+ROUND((ROUND(((Source!AE186-(Source!EU186))*Source!AV186*Source!I186),2)),2))), 2)</f>
        <v>0</v>
      </c>
      <c r="R399">
        <f>Source!X186</f>
        <v>0</v>
      </c>
      <c r="S399">
        <f>ROUND((Source!CA186/100)*(ROUND((ROUND((Source!AF186*Source!AV186*Source!I186),2)),2)+(ROUND((ROUND(((Source!EU186)*Source!AV186*Source!I186),2)),2)+ROUND((ROUND(((Source!AE186-(Source!EU186))*Source!AV186*Source!I186),2)),2))), 2)</f>
        <v>0</v>
      </c>
      <c r="T399">
        <f>Source!Y186</f>
        <v>0</v>
      </c>
      <c r="U399">
        <f>ROUND((175/100)*((ROUND((ROUND(((Source!EU186)*Source!AV186*Source!I186),2)),2)+ROUND((ROUND(((Source!AE186-(Source!EU186))*Source!AV186*Source!I186),2)),2))), 2)</f>
        <v>0</v>
      </c>
      <c r="V399">
        <f>ROUND((0/100)*((ROUND((ROUND(((Source!EU186)*Source!AV186*Source!I186),2)*Source!BS186),2)+ROUND((ROUND(((Source!AE186-(Source!EU186))*Source!AV186*Source!I186),2)*Source!BS186),2))), 2)</f>
        <v>0</v>
      </c>
      <c r="X399">
        <f>IF(Source!BI186&lt;=1,I399, 0)</f>
        <v>0</v>
      </c>
      <c r="Y399">
        <f>IF(Source!BI186=2,I399, 0)</f>
        <v>0</v>
      </c>
      <c r="Z399">
        <f>IF(Source!BI186=3,I399, 0)</f>
        <v>0</v>
      </c>
      <c r="AA399">
        <f>IF(Source!BI186=4,I399, 0)</f>
        <v>0</v>
      </c>
      <c r="AI399">
        <v>3</v>
      </c>
    </row>
    <row r="400" spans="1:35" ht="14.25">
      <c r="A400" s="22"/>
      <c r="B400" s="22"/>
      <c r="C400" s="22" t="s">
        <v>487</v>
      </c>
      <c r="D400" s="24" t="s">
        <v>488</v>
      </c>
      <c r="E400" s="23">
        <f>Source!BZ185</f>
        <v>97</v>
      </c>
      <c r="F400" s="26"/>
      <c r="G400" s="25"/>
      <c r="H400" s="23"/>
      <c r="I400" s="26">
        <f>SUM(Q393:Q399)</f>
        <v>15.62</v>
      </c>
      <c r="J400" s="23">
        <f>Source!AT185</f>
        <v>97</v>
      </c>
      <c r="K400" s="26">
        <f>SUM(R393:R399)</f>
        <v>902.03</v>
      </c>
    </row>
    <row r="401" spans="1:35" ht="14.25">
      <c r="A401" s="22"/>
      <c r="B401" s="22"/>
      <c r="C401" s="22" t="s">
        <v>489</v>
      </c>
      <c r="D401" s="24" t="s">
        <v>488</v>
      </c>
      <c r="E401" s="23">
        <f>Source!CA185</f>
        <v>51</v>
      </c>
      <c r="F401" s="26"/>
      <c r="G401" s="25"/>
      <c r="H401" s="23"/>
      <c r="I401" s="26">
        <f>SUM(S393:S400)</f>
        <v>8.2100000000000009</v>
      </c>
      <c r="J401" s="23">
        <f>Source!AU185</f>
        <v>51</v>
      </c>
      <c r="K401" s="26">
        <f>SUM(T393:T400)</f>
        <v>474.26</v>
      </c>
    </row>
    <row r="402" spans="1:35" ht="28.5">
      <c r="A402" s="28"/>
      <c r="B402" s="28"/>
      <c r="C402" s="28" t="s">
        <v>490</v>
      </c>
      <c r="D402" s="29" t="s">
        <v>491</v>
      </c>
      <c r="E402" s="30">
        <f>Source!AQ185</f>
        <v>4.12</v>
      </c>
      <c r="F402" s="31"/>
      <c r="G402" s="32" t="str">
        <f>Source!DI185</f>
        <v>*1,2)*1,05</v>
      </c>
      <c r="H402" s="30">
        <f>Source!AV185</f>
        <v>1</v>
      </c>
      <c r="I402" s="31">
        <f>Source!U185</f>
        <v>1.2978000000000001</v>
      </c>
      <c r="J402" s="30"/>
      <c r="K402" s="31"/>
      <c r="AB402" s="27">
        <f>I402</f>
        <v>1.2978000000000001</v>
      </c>
    </row>
    <row r="403" spans="1:35" ht="15">
      <c r="C403" s="33" t="s">
        <v>492</v>
      </c>
      <c r="H403" s="69">
        <f>I395+I396+I398+I400+I401+SUM(I399:I399)-SUMIF(AI399:AI399, 5, I399:I399)-SUMIF(AI399:AI399, 6, I399:I399)</f>
        <v>66.13</v>
      </c>
      <c r="I403" s="69"/>
      <c r="J403" s="69">
        <f>K395+K396+K398+K400+K401+SUM(K399:K399)-SUMIF(AI399:AI399, 5, K399:K399)-SUMIF(AI399:AI399, 6, K399:K399)</f>
        <v>2511.23</v>
      </c>
      <c r="K403" s="69"/>
    </row>
    <row r="404" spans="1:35" ht="15" hidden="1">
      <c r="C404" s="33" t="s">
        <v>493</v>
      </c>
      <c r="H404" s="68">
        <f>SUMIF(AI399:AI399, 5, I399:I399)+SUMIF(AI399:AI399, 6, I399:I399)</f>
        <v>0</v>
      </c>
      <c r="I404" s="68"/>
      <c r="J404" s="68">
        <f>SUMIF(AI399:AI399, 5, K399:K399)+SUMIF(AI399:AI399, 6, K399:K399)</f>
        <v>0</v>
      </c>
      <c r="K404" s="68"/>
    </row>
    <row r="405" spans="1:35" ht="15">
      <c r="H405" s="68"/>
      <c r="I405" s="68"/>
      <c r="J405" s="68"/>
      <c r="K405" s="68"/>
      <c r="O405" s="27">
        <f>I395+I396+I398+I400+I401+SUM(I399:I399)</f>
        <v>66.13</v>
      </c>
      <c r="P405" s="27">
        <f>K395+K396+K398+K400+K401+SUM(K399:K399)</f>
        <v>2511.23</v>
      </c>
      <c r="X405">
        <f>IF(Source!BI185&lt;=1,I395+I396+I398+I400+I401-0, 0)</f>
        <v>0</v>
      </c>
      <c r="Y405">
        <f>IF(Source!BI185=2,I395+I396+I398+I400+I401-0, 0)</f>
        <v>66.13</v>
      </c>
      <c r="Z405">
        <f>IF(Source!BI185=3,I395+I396+I398+I400+I401-0, 0)</f>
        <v>0</v>
      </c>
      <c r="AA405">
        <f>IF(Source!BI185=4,I395+I396+I398+I400+I401,0)</f>
        <v>0</v>
      </c>
    </row>
    <row r="407" spans="1:35" ht="28.5">
      <c r="A407" s="22">
        <v>38</v>
      </c>
      <c r="B407" s="22" t="str">
        <f>Source!F187</f>
        <v>4.8-162-1</v>
      </c>
      <c r="C407" s="22" t="s">
        <v>341</v>
      </c>
      <c r="D407" s="24" t="str">
        <f>Source!H187</f>
        <v>100 м</v>
      </c>
      <c r="E407" s="23">
        <f>Source!I187</f>
        <v>0.5</v>
      </c>
      <c r="F407" s="26"/>
      <c r="G407" s="25"/>
      <c r="H407" s="23"/>
      <c r="I407" s="26"/>
      <c r="J407" s="23"/>
      <c r="K407" s="26"/>
      <c r="Q407">
        <f>ROUND((Source!BZ187/100)*(ROUND((ROUND((Source!AF187*Source!AV187*Source!I187),2)),2)+(ROUND((ROUND(((((Source!EU187*1.2)*1))*Source!AV187*Source!I187),2)),2)+ROUND((ROUND(((Source!AE187-(((Source!EU187*1.2)*1)))*Source!AV187*Source!I187),2)),2))), 2)</f>
        <v>23.34</v>
      </c>
      <c r="R407">
        <f>Source!X187</f>
        <v>1348.01</v>
      </c>
      <c r="S407">
        <f>ROUND((Source!CA187/100)*(ROUND((ROUND((Source!AF187*Source!AV187*Source!I187),2)),2)+(ROUND((ROUND(((((Source!EU187*1.2)*1))*Source!AV187*Source!I187),2)),2)+ROUND((ROUND(((Source!AE187-(((Source!EU187*1.2)*1)))*Source!AV187*Source!I187),2)),2))), 2)</f>
        <v>12.27</v>
      </c>
      <c r="T407">
        <f>Source!Y187</f>
        <v>708.75</v>
      </c>
      <c r="U407">
        <f>ROUND((175/100)*((ROUND((ROUND(((((Source!EU187*1.2)*1))*Source!AV187*Source!I187),2)),2)+ROUND((ROUND(((Source!AE187-(((Source!EU187*1.2)*1)))*Source!AV187*Source!I187),2)),2))), 2)</f>
        <v>0.14000000000000001</v>
      </c>
      <c r="V407">
        <f>ROUND((0/100)*((ROUND((ROUND(((((Source!EU187*1.2)*1))*Source!AV187*Source!I187),2)*Source!BS187),2)+ROUND((ROUND(((Source!AE187-(((Source!EU187*1.2)*1)))*Source!AV187*Source!I187),2)*Source!BS187),2))), 2)</f>
        <v>0</v>
      </c>
      <c r="AI407">
        <v>0</v>
      </c>
    </row>
    <row r="408" spans="1:35">
      <c r="C408" s="36" t="str">
        <f>"Объем: "&amp;Source!I187&amp;"=(50)/"&amp;"100"</f>
        <v>Объем: 0,5=(50)/100</v>
      </c>
    </row>
    <row r="409" spans="1:35" ht="28.5">
      <c r="A409" s="22"/>
      <c r="B409" s="22"/>
      <c r="C409" s="22" t="s">
        <v>485</v>
      </c>
      <c r="D409" s="24"/>
      <c r="E409" s="23"/>
      <c r="F409" s="26">
        <f>Source!AO187</f>
        <v>38.07</v>
      </c>
      <c r="G409" s="25" t="str">
        <f>Source!DG187</f>
        <v>*1,2)*1,05</v>
      </c>
      <c r="H409" s="23">
        <f>Source!AV187</f>
        <v>1</v>
      </c>
      <c r="I409" s="26">
        <f>ROUND((ROUND((Source!AF187*Source!AV187*Source!I187),2)),2)</f>
        <v>23.98</v>
      </c>
      <c r="J409" s="23">
        <f>IF(Source!BA187&lt;&gt; 0, Source!BA187, 1)</f>
        <v>57.76</v>
      </c>
      <c r="K409" s="26">
        <f>Source!S187</f>
        <v>1385.08</v>
      </c>
      <c r="W409">
        <f>I409</f>
        <v>23.98</v>
      </c>
    </row>
    <row r="410" spans="1:35" ht="14.25">
      <c r="A410" s="22"/>
      <c r="B410" s="22"/>
      <c r="C410" s="22" t="s">
        <v>486</v>
      </c>
      <c r="D410" s="24"/>
      <c r="E410" s="23"/>
      <c r="F410" s="26">
        <f>Source!AM187</f>
        <v>0.83</v>
      </c>
      <c r="G410" s="25" t="str">
        <f>Source!DE187</f>
        <v>*1,2)*1</v>
      </c>
      <c r="H410" s="23">
        <f>Source!AV187</f>
        <v>1</v>
      </c>
      <c r="I410" s="26">
        <f>(ROUND((ROUND(((((Source!ET187*1.2)*1))*Source!AV187*Source!I187),2)),2)+ROUND((ROUND(((Source!AE187-(((Source!EU187*1.2)*1)))*Source!AV187*Source!I187),2)),2))</f>
        <v>0.5</v>
      </c>
      <c r="J410" s="23">
        <f>IF(Source!BB187&lt;&gt; 0, Source!BB187, 1)</f>
        <v>18.04</v>
      </c>
      <c r="K410" s="26">
        <f>Source!Q187</f>
        <v>9.02</v>
      </c>
    </row>
    <row r="411" spans="1:35" ht="14.25">
      <c r="A411" s="22"/>
      <c r="B411" s="22"/>
      <c r="C411" s="22" t="s">
        <v>494</v>
      </c>
      <c r="D411" s="24"/>
      <c r="E411" s="23"/>
      <c r="F411" s="26">
        <f>Source!AN187</f>
        <v>0.13</v>
      </c>
      <c r="G411" s="25" t="str">
        <f>Source!DF187</f>
        <v>*1,2)*1</v>
      </c>
      <c r="H411" s="23">
        <f>Source!AV187</f>
        <v>1</v>
      </c>
      <c r="I411" s="34">
        <f>(ROUND((ROUND(((((Source!EU187*1.2)*1))*Source!AV187*Source!I187),2)),2)+ROUND((ROUND(((Source!AE187-(((Source!EU187*1.2)*1)))*Source!AV187*Source!I187),2)),2))</f>
        <v>0.08</v>
      </c>
      <c r="J411" s="23">
        <f>IF(Source!BS187&lt;&gt; 0, Source!BS187, 1)</f>
        <v>57.76</v>
      </c>
      <c r="K411" s="34">
        <f>Source!R187</f>
        <v>4.62</v>
      </c>
      <c r="W411">
        <f>I411</f>
        <v>0.08</v>
      </c>
    </row>
    <row r="412" spans="1:35" ht="14.25">
      <c r="A412" s="22"/>
      <c r="B412" s="22"/>
      <c r="C412" s="22" t="s">
        <v>495</v>
      </c>
      <c r="D412" s="24"/>
      <c r="E412" s="23"/>
      <c r="F412" s="26">
        <f>Source!AL187</f>
        <v>88.94</v>
      </c>
      <c r="G412" s="25" t="str">
        <f>Source!DD187</f>
        <v>*1)*1</v>
      </c>
      <c r="H412" s="23">
        <f>Source!AW187</f>
        <v>1</v>
      </c>
      <c r="I412" s="26">
        <f>ROUND((ROUND((Source!AC187*Source!AW187*Source!I187),2)),2)</f>
        <v>44.47</v>
      </c>
      <c r="J412" s="23">
        <f>IF(Source!BC187&lt;&gt; 0, Source!BC187, 1)</f>
        <v>7.74</v>
      </c>
      <c r="K412" s="26">
        <f>Source!P187</f>
        <v>344.2</v>
      </c>
    </row>
    <row r="413" spans="1:35" ht="28.5">
      <c r="A413" s="22" t="s">
        <v>343</v>
      </c>
      <c r="B413" s="22" t="str">
        <f>Source!F188</f>
        <v>3500000000</v>
      </c>
      <c r="C413" s="22" t="s">
        <v>241</v>
      </c>
      <c r="D413" s="24" t="str">
        <f>Source!H188</f>
        <v>км</v>
      </c>
      <c r="E413" s="23">
        <f>Source!I188</f>
        <v>5.1499999999999997E-2</v>
      </c>
      <c r="F413" s="26">
        <f>Source!AK188</f>
        <v>0</v>
      </c>
      <c r="G413" s="35" t="s">
        <v>3</v>
      </c>
      <c r="H413" s="23">
        <f>Source!AW188</f>
        <v>1</v>
      </c>
      <c r="I413" s="26">
        <f>ROUND((ROUND((Source!AC188*Source!AW188*Source!I188),2)),2)+(ROUND((ROUND(((Source!ET188)*Source!AV188*Source!I188),2)),2)+ROUND((ROUND(((Source!AE188-(Source!EU188))*Source!AV188*Source!I188),2)),2))+ROUND((ROUND((Source!AF188*Source!AV188*Source!I188),2)),2)</f>
        <v>0</v>
      </c>
      <c r="J413" s="23">
        <f>IF(Source!BC188&lt;&gt; 0, Source!BC188, 1)</f>
        <v>1</v>
      </c>
      <c r="K413" s="26">
        <f>Source!O188</f>
        <v>0</v>
      </c>
      <c r="Q413">
        <f>ROUND((Source!BZ188/100)*(ROUND((ROUND((Source!AF188*Source!AV188*Source!I188),2)),2)+(ROUND((ROUND(((Source!EU188)*Source!AV188*Source!I188),2)),2)+ROUND((ROUND(((Source!AE188-(Source!EU188))*Source!AV188*Source!I188),2)),2))), 2)</f>
        <v>0</v>
      </c>
      <c r="R413">
        <f>Source!X188</f>
        <v>0</v>
      </c>
      <c r="S413">
        <f>ROUND((Source!CA188/100)*(ROUND((ROUND((Source!AF188*Source!AV188*Source!I188),2)),2)+(ROUND((ROUND(((Source!EU188)*Source!AV188*Source!I188),2)),2)+ROUND((ROUND(((Source!AE188-(Source!EU188))*Source!AV188*Source!I188),2)),2))), 2)</f>
        <v>0</v>
      </c>
      <c r="T413">
        <f>Source!Y188</f>
        <v>0</v>
      </c>
      <c r="U413">
        <f>ROUND((175/100)*((ROUND((ROUND(((Source!EU188)*Source!AV188*Source!I188),2)),2)+ROUND((ROUND(((Source!AE188-(Source!EU188))*Source!AV188*Source!I188),2)),2))), 2)</f>
        <v>0</v>
      </c>
      <c r="V413">
        <f>ROUND((0/100)*((ROUND((ROUND(((Source!EU188)*Source!AV188*Source!I188),2)*Source!BS188),2)+ROUND((ROUND(((Source!AE188-(Source!EU188))*Source!AV188*Source!I188),2)*Source!BS188),2))), 2)</f>
        <v>0</v>
      </c>
      <c r="X413">
        <f>IF(Source!BI188&lt;=1,I413, 0)</f>
        <v>0</v>
      </c>
      <c r="Y413">
        <f>IF(Source!BI188=2,I413, 0)</f>
        <v>0</v>
      </c>
      <c r="Z413">
        <f>IF(Source!BI188=3,I413, 0)</f>
        <v>0</v>
      </c>
      <c r="AA413">
        <f>IF(Source!BI188=4,I413, 0)</f>
        <v>0</v>
      </c>
      <c r="AI413">
        <v>3</v>
      </c>
    </row>
    <row r="414" spans="1:35" ht="14.25">
      <c r="A414" s="22"/>
      <c r="B414" s="22"/>
      <c r="C414" s="22" t="s">
        <v>487</v>
      </c>
      <c r="D414" s="24" t="s">
        <v>488</v>
      </c>
      <c r="E414" s="23">
        <f>Source!BZ187</f>
        <v>97</v>
      </c>
      <c r="F414" s="26"/>
      <c r="G414" s="25"/>
      <c r="H414" s="23"/>
      <c r="I414" s="26">
        <f>SUM(Q407:Q413)</f>
        <v>23.34</v>
      </c>
      <c r="J414" s="23">
        <f>Source!AT187</f>
        <v>97</v>
      </c>
      <c r="K414" s="26">
        <f>SUM(R407:R413)</f>
        <v>1348.01</v>
      </c>
    </row>
    <row r="415" spans="1:35" ht="14.25">
      <c r="A415" s="22"/>
      <c r="B415" s="22"/>
      <c r="C415" s="22" t="s">
        <v>489</v>
      </c>
      <c r="D415" s="24" t="s">
        <v>488</v>
      </c>
      <c r="E415" s="23">
        <f>Source!CA187</f>
        <v>51</v>
      </c>
      <c r="F415" s="26"/>
      <c r="G415" s="25"/>
      <c r="H415" s="23"/>
      <c r="I415" s="26">
        <f>SUM(S407:S414)</f>
        <v>12.27</v>
      </c>
      <c r="J415" s="23">
        <f>Source!AU187</f>
        <v>51</v>
      </c>
      <c r="K415" s="26">
        <f>SUM(T407:T414)</f>
        <v>708.75</v>
      </c>
    </row>
    <row r="416" spans="1:35" ht="28.5">
      <c r="A416" s="28"/>
      <c r="B416" s="28"/>
      <c r="C416" s="28" t="s">
        <v>490</v>
      </c>
      <c r="D416" s="29" t="s">
        <v>491</v>
      </c>
      <c r="E416" s="30">
        <f>Source!AQ187</f>
        <v>3.09</v>
      </c>
      <c r="F416" s="31"/>
      <c r="G416" s="32" t="str">
        <f>Source!DI187</f>
        <v>*1,2)*1,05</v>
      </c>
      <c r="H416" s="30">
        <f>Source!AV187</f>
        <v>1</v>
      </c>
      <c r="I416" s="31">
        <f>Source!U187</f>
        <v>1.9466999999999999</v>
      </c>
      <c r="J416" s="30"/>
      <c r="K416" s="31"/>
      <c r="AB416" s="27">
        <f>I416</f>
        <v>1.9466999999999999</v>
      </c>
    </row>
    <row r="417" spans="1:35" ht="15">
      <c r="C417" s="33" t="s">
        <v>492</v>
      </c>
      <c r="H417" s="69">
        <f>I409+I410+I412+I414+I415+SUM(I413:I413)-SUMIF(AI413:AI413, 5, I413:I413)-SUMIF(AI413:AI413, 6, I413:I413)</f>
        <v>104.56</v>
      </c>
      <c r="I417" s="69"/>
      <c r="J417" s="69">
        <f>K409+K410+K412+K414+K415+SUM(K413:K413)-SUMIF(AI413:AI413, 5, K413:K413)-SUMIF(AI413:AI413, 6, K413:K413)</f>
        <v>3795.06</v>
      </c>
      <c r="K417" s="69"/>
    </row>
    <row r="418" spans="1:35" ht="15" hidden="1">
      <c r="C418" s="33" t="s">
        <v>493</v>
      </c>
      <c r="H418" s="68">
        <f>SUMIF(AI413:AI413, 5, I413:I413)+SUMIF(AI413:AI413, 6, I413:I413)</f>
        <v>0</v>
      </c>
      <c r="I418" s="68"/>
      <c r="J418" s="68">
        <f>SUMIF(AI413:AI413, 5, K413:K413)+SUMIF(AI413:AI413, 6, K413:K413)</f>
        <v>0</v>
      </c>
      <c r="K418" s="68"/>
    </row>
    <row r="419" spans="1:35" ht="15">
      <c r="H419" s="68"/>
      <c r="I419" s="68"/>
      <c r="J419" s="68"/>
      <c r="K419" s="68"/>
      <c r="O419" s="27">
        <f>I409+I410+I412+I414+I415+SUM(I413:I413)</f>
        <v>104.56</v>
      </c>
      <c r="P419" s="27">
        <f>K409+K410+K412+K414+K415+SUM(K413:K413)</f>
        <v>3795.06</v>
      </c>
      <c r="X419">
        <f>IF(Source!BI187&lt;=1,I409+I410+I412+I414+I415-0, 0)</f>
        <v>0</v>
      </c>
      <c r="Y419">
        <f>IF(Source!BI187=2,I409+I410+I412+I414+I415-0, 0)</f>
        <v>104.56</v>
      </c>
      <c r="Z419">
        <f>IF(Source!BI187=3,I409+I410+I412+I414+I415-0, 0)</f>
        <v>0</v>
      </c>
      <c r="AA419">
        <f>IF(Source!BI187=4,I409+I410+I412+I414+I415,0)</f>
        <v>0</v>
      </c>
    </row>
    <row r="421" spans="1:35" ht="99.75">
      <c r="A421" s="28">
        <v>39</v>
      </c>
      <c r="B421" s="28" t="str">
        <f>Source!F189</f>
        <v>1.23-8-415</v>
      </c>
      <c r="C421" s="28" t="s">
        <v>346</v>
      </c>
      <c r="D421" s="29" t="str">
        <f>Source!H189</f>
        <v>км</v>
      </c>
      <c r="E421" s="30">
        <f>Source!I189</f>
        <v>5.1499999999999997E-2</v>
      </c>
      <c r="F421" s="31">
        <f>Source!AL189</f>
        <v>7644.98</v>
      </c>
      <c r="G421" s="32" t="str">
        <f>Source!DD189</f>
        <v/>
      </c>
      <c r="H421" s="30">
        <f>Source!AW189</f>
        <v>1</v>
      </c>
      <c r="I421" s="31">
        <f>ROUND((ROUND((Source!AC189*Source!AW189*Source!I189),2)),2)</f>
        <v>393.72</v>
      </c>
      <c r="J421" s="30">
        <f>IF(Source!BC189&lt;&gt; 0, Source!BC189, 1)</f>
        <v>1</v>
      </c>
      <c r="K421" s="31">
        <f>Source!P189</f>
        <v>393.72</v>
      </c>
      <c r="Q421">
        <f>ROUND((Source!BZ189/100)*(ROUND((ROUND((Source!AF189*Source!AV189*Source!I189),2)),2)+(ROUND((ROUND(((Source!EU189)*Source!AV189*Source!I189),2)),2)+ROUND((ROUND(((Source!AE189-(Source!EU189))*Source!AV189*Source!I189),2)),2))), 2)</f>
        <v>0</v>
      </c>
      <c r="R421">
        <f>Source!X189</f>
        <v>0</v>
      </c>
      <c r="S421">
        <f>ROUND((Source!CA189/100)*(ROUND((ROUND((Source!AF189*Source!AV189*Source!I189),2)),2)+(ROUND((ROUND(((Source!EU189)*Source!AV189*Source!I189),2)),2)+ROUND((ROUND(((Source!AE189-(Source!EU189))*Source!AV189*Source!I189),2)),2))), 2)</f>
        <v>0</v>
      </c>
      <c r="T421">
        <f>Source!Y189</f>
        <v>0</v>
      </c>
      <c r="U421">
        <f>ROUND((175/100)*((ROUND((ROUND(((Source!EU189)*Source!AV189*Source!I189),2)),2)+ROUND((ROUND(((Source!AE189-(Source!EU189))*Source!AV189*Source!I189),2)),2))), 2)</f>
        <v>0</v>
      </c>
      <c r="V421">
        <f>ROUND((0/100)*((ROUND((ROUND(((Source!EU189)*Source!AV189*Source!I189),2)*Source!BS189),2)+ROUND((ROUND(((Source!AE189-(Source!EU189))*Source!AV189*Source!I189),2)*Source!BS189),2))), 2)</f>
        <v>0</v>
      </c>
      <c r="AI421">
        <v>3</v>
      </c>
    </row>
    <row r="422" spans="1:35" ht="15">
      <c r="C422" s="33" t="s">
        <v>497</v>
      </c>
      <c r="H422" s="69">
        <f>I421+0</f>
        <v>393.72</v>
      </c>
      <c r="I422" s="69"/>
      <c r="J422" s="69">
        <f>K421+0</f>
        <v>393.72</v>
      </c>
      <c r="K422" s="69"/>
      <c r="O422" s="27">
        <f>I421+0</f>
        <v>393.72</v>
      </c>
      <c r="P422" s="27">
        <f>K421+0</f>
        <v>393.72</v>
      </c>
      <c r="X422">
        <f>IF(Source!BI189&lt;=1,I421-0, 0)</f>
        <v>0</v>
      </c>
      <c r="Y422">
        <f>IF(Source!BI189=2,I421-0, 0)</f>
        <v>393.72</v>
      </c>
      <c r="Z422">
        <f>IF(Source!BI189=3,I421-0, 0)</f>
        <v>0</v>
      </c>
      <c r="AA422">
        <f>IF(Source!BI189=4,I421,0)</f>
        <v>0</v>
      </c>
    </row>
    <row r="424" spans="1:35" ht="57">
      <c r="A424" s="22">
        <v>40</v>
      </c>
      <c r="B424" s="22" t="str">
        <f>Source!F190</f>
        <v>4.8-323-2</v>
      </c>
      <c r="C424" s="22" t="s">
        <v>350</v>
      </c>
      <c r="D424" s="24" t="str">
        <f>Source!H190</f>
        <v>100 шт.</v>
      </c>
      <c r="E424" s="23">
        <f>Source!I190</f>
        <v>0.05</v>
      </c>
      <c r="F424" s="26"/>
      <c r="G424" s="25"/>
      <c r="H424" s="23"/>
      <c r="I424" s="26"/>
      <c r="J424" s="23"/>
      <c r="K424" s="26"/>
      <c r="Q424">
        <f>ROUND((Source!BZ190/100)*(ROUND((ROUND((Source!AF190*Source!AV190*Source!I190),2)),2)+(ROUND((ROUND(((((Source!EU190*1.2)*1))*Source!AV190*Source!I190),2)),2)+ROUND((ROUND(((Source!AE190-(((Source!EU190*1.2)*1)))*Source!AV190*Source!I190),2)),2))), 2)</f>
        <v>68.010000000000005</v>
      </c>
      <c r="R424">
        <f>Source!X190</f>
        <v>3928.06</v>
      </c>
      <c r="S424">
        <f>ROUND((Source!CA190/100)*(ROUND((ROUND((Source!AF190*Source!AV190*Source!I190),2)),2)+(ROUND((ROUND(((((Source!EU190*1.2)*1))*Source!AV190*Source!I190),2)),2)+ROUND((ROUND(((Source!AE190-(((Source!EU190*1.2)*1)))*Source!AV190*Source!I190),2)),2))), 2)</f>
        <v>35.76</v>
      </c>
      <c r="T424">
        <f>Source!Y190</f>
        <v>2065.27</v>
      </c>
      <c r="U424">
        <f>ROUND((175/100)*((ROUND((ROUND(((((Source!EU190*1.2)*1))*Source!AV190*Source!I190),2)),2)+ROUND((ROUND(((Source!AE190-(((Source!EU190*1.2)*1)))*Source!AV190*Source!I190),2)),2))), 2)</f>
        <v>0.74</v>
      </c>
      <c r="V424">
        <f>ROUND((0/100)*((ROUND((ROUND(((((Source!EU190*1.2)*1))*Source!AV190*Source!I190),2)*Source!BS190),2)+ROUND((ROUND(((Source!AE190-(((Source!EU190*1.2)*1)))*Source!AV190*Source!I190),2)*Source!BS190),2))), 2)</f>
        <v>0</v>
      </c>
      <c r="AI424">
        <v>0</v>
      </c>
    </row>
    <row r="425" spans="1:35">
      <c r="C425" s="36" t="str">
        <f>"Объем: "&amp;Source!I190&amp;"=(5)/"&amp;"100"</f>
        <v>Объем: 0,05=(5)/100</v>
      </c>
    </row>
    <row r="426" spans="1:35" ht="28.5">
      <c r="A426" s="22"/>
      <c r="B426" s="22"/>
      <c r="C426" s="22" t="s">
        <v>485</v>
      </c>
      <c r="D426" s="24"/>
      <c r="E426" s="23"/>
      <c r="F426" s="26">
        <f>Source!AO190</f>
        <v>1106.26</v>
      </c>
      <c r="G426" s="25" t="str">
        <f>Source!DG190</f>
        <v>*1,2)*1,05</v>
      </c>
      <c r="H426" s="23">
        <f>Source!AV190</f>
        <v>1</v>
      </c>
      <c r="I426" s="26">
        <f>ROUND((ROUND((Source!AF190*Source!AV190*Source!I190),2)),2)</f>
        <v>69.69</v>
      </c>
      <c r="J426" s="23">
        <f>IF(Source!BA190&lt;&gt; 0, Source!BA190, 1)</f>
        <v>57.76</v>
      </c>
      <c r="K426" s="26">
        <f>Source!S190</f>
        <v>4025.29</v>
      </c>
      <c r="W426">
        <f>I426</f>
        <v>69.69</v>
      </c>
    </row>
    <row r="427" spans="1:35" ht="14.25">
      <c r="A427" s="22"/>
      <c r="B427" s="22"/>
      <c r="C427" s="22" t="s">
        <v>486</v>
      </c>
      <c r="D427" s="24"/>
      <c r="E427" s="23"/>
      <c r="F427" s="26">
        <f>Source!AM190</f>
        <v>52.1</v>
      </c>
      <c r="G427" s="25" t="str">
        <f>Source!DE190</f>
        <v>*1,2)*1</v>
      </c>
      <c r="H427" s="23">
        <f>Source!AV190</f>
        <v>1</v>
      </c>
      <c r="I427" s="26">
        <f>(ROUND((ROUND(((((Source!ET190*1.2)*1))*Source!AV190*Source!I190),2)),2)+ROUND((ROUND(((Source!AE190-(((Source!EU190*1.2)*1)))*Source!AV190*Source!I190),2)),2))</f>
        <v>3.13</v>
      </c>
      <c r="J427" s="23">
        <f>IF(Source!BB190&lt;&gt; 0, Source!BB190, 1)</f>
        <v>17.309999999999999</v>
      </c>
      <c r="K427" s="26">
        <f>Source!Q190</f>
        <v>54.18</v>
      </c>
    </row>
    <row r="428" spans="1:35" ht="14.25">
      <c r="A428" s="22"/>
      <c r="B428" s="22"/>
      <c r="C428" s="22" t="s">
        <v>494</v>
      </c>
      <c r="D428" s="24"/>
      <c r="E428" s="23"/>
      <c r="F428" s="26">
        <f>Source!AN190</f>
        <v>7.07</v>
      </c>
      <c r="G428" s="25" t="str">
        <f>Source!DF190</f>
        <v>*1,2)*1</v>
      </c>
      <c r="H428" s="23">
        <f>Source!AV190</f>
        <v>1</v>
      </c>
      <c r="I428" s="34">
        <f>(ROUND((ROUND(((((Source!EU190*1.2)*1))*Source!AV190*Source!I190),2)),2)+ROUND((ROUND(((Source!AE190-(((Source!EU190*1.2)*1)))*Source!AV190*Source!I190),2)),2))</f>
        <v>0.42</v>
      </c>
      <c r="J428" s="23">
        <f>IF(Source!BS190&lt;&gt; 0, Source!BS190, 1)</f>
        <v>57.76</v>
      </c>
      <c r="K428" s="34">
        <f>Source!R190</f>
        <v>24.26</v>
      </c>
      <c r="W428">
        <f>I428</f>
        <v>0.42</v>
      </c>
    </row>
    <row r="429" spans="1:35" ht="14.25">
      <c r="A429" s="22"/>
      <c r="B429" s="22"/>
      <c r="C429" s="22" t="s">
        <v>495</v>
      </c>
      <c r="D429" s="24"/>
      <c r="E429" s="23"/>
      <c r="F429" s="26">
        <f>Source!AL190</f>
        <v>109.58</v>
      </c>
      <c r="G429" s="25" t="str">
        <f>Source!DD190</f>
        <v>*1)*1</v>
      </c>
      <c r="H429" s="23">
        <f>Source!AW190</f>
        <v>1</v>
      </c>
      <c r="I429" s="26">
        <f>ROUND((ROUND((Source!AC190*Source!AW190*Source!I190),2)),2)</f>
        <v>5.48</v>
      </c>
      <c r="J429" s="23">
        <f>IF(Source!BC190&lt;&gt; 0, Source!BC190, 1)</f>
        <v>3.1</v>
      </c>
      <c r="K429" s="26">
        <f>Source!P190</f>
        <v>16.989999999999998</v>
      </c>
    </row>
    <row r="430" spans="1:35" ht="28.5">
      <c r="A430" s="22" t="s">
        <v>352</v>
      </c>
      <c r="B430" s="22" t="str">
        <f>Source!F191</f>
        <v>3461110000</v>
      </c>
      <c r="C430" s="22" t="s">
        <v>354</v>
      </c>
      <c r="D430" s="24" t="str">
        <f>Source!H191</f>
        <v>шт.</v>
      </c>
      <c r="E430" s="23">
        <f>Source!I191</f>
        <v>5</v>
      </c>
      <c r="F430" s="26">
        <f>Source!AK191</f>
        <v>0</v>
      </c>
      <c r="G430" s="35" t="s">
        <v>3</v>
      </c>
      <c r="H430" s="23">
        <f>Source!AW191</f>
        <v>1</v>
      </c>
      <c r="I430" s="26">
        <f>ROUND((ROUND((Source!AC191*Source!AW191*Source!I191),2)),2)+(ROUND((ROUND(((Source!ET191)*Source!AV191*Source!I191),2)),2)+ROUND((ROUND(((Source!AE191-(Source!EU191))*Source!AV191*Source!I191),2)),2))+ROUND((ROUND((Source!AF191*Source!AV191*Source!I191),2)),2)</f>
        <v>0</v>
      </c>
      <c r="J430" s="23">
        <f>IF(Source!BC191&lt;&gt; 0, Source!BC191, 1)</f>
        <v>1</v>
      </c>
      <c r="K430" s="26">
        <f>Source!O191</f>
        <v>0</v>
      </c>
      <c r="Q430">
        <f>ROUND((Source!BZ191/100)*(ROUND((ROUND((Source!AF191*Source!AV191*Source!I191),2)),2)+(ROUND((ROUND(((Source!EU191)*Source!AV191*Source!I191),2)),2)+ROUND((ROUND(((Source!AE191-(Source!EU191))*Source!AV191*Source!I191),2)),2))), 2)</f>
        <v>0</v>
      </c>
      <c r="R430">
        <f>Source!X191</f>
        <v>0</v>
      </c>
      <c r="S430">
        <f>ROUND((Source!CA191/100)*(ROUND((ROUND((Source!AF191*Source!AV191*Source!I191),2)),2)+(ROUND((ROUND(((Source!EU191)*Source!AV191*Source!I191),2)),2)+ROUND((ROUND(((Source!AE191-(Source!EU191))*Source!AV191*Source!I191),2)),2))), 2)</f>
        <v>0</v>
      </c>
      <c r="T430">
        <f>Source!Y191</f>
        <v>0</v>
      </c>
      <c r="U430">
        <f>ROUND((175/100)*((ROUND((ROUND(((Source!EU191)*Source!AV191*Source!I191),2)),2)+ROUND((ROUND(((Source!AE191-(Source!EU191))*Source!AV191*Source!I191),2)),2))), 2)</f>
        <v>0</v>
      </c>
      <c r="V430">
        <f>ROUND((0/100)*((ROUND((ROUND(((Source!EU191)*Source!AV191*Source!I191),2)*Source!BS191),2)+ROUND((ROUND(((Source!AE191-(Source!EU191))*Source!AV191*Source!I191),2)*Source!BS191),2))), 2)</f>
        <v>0</v>
      </c>
      <c r="X430">
        <f>IF(Source!BI191&lt;=1,I430, 0)</f>
        <v>0</v>
      </c>
      <c r="Y430">
        <f>IF(Source!BI191=2,I430, 0)</f>
        <v>0</v>
      </c>
      <c r="Z430">
        <f>IF(Source!BI191=3,I430, 0)</f>
        <v>0</v>
      </c>
      <c r="AA430">
        <f>IF(Source!BI191=4,I430, 0)</f>
        <v>0</v>
      </c>
      <c r="AI430">
        <v>3</v>
      </c>
    </row>
    <row r="431" spans="1:35" ht="14.25">
      <c r="A431" s="22"/>
      <c r="B431" s="22"/>
      <c r="C431" s="22" t="s">
        <v>487</v>
      </c>
      <c r="D431" s="24" t="s">
        <v>488</v>
      </c>
      <c r="E431" s="23">
        <f>Source!BZ190</f>
        <v>97</v>
      </c>
      <c r="F431" s="26"/>
      <c r="G431" s="25"/>
      <c r="H431" s="23"/>
      <c r="I431" s="26">
        <f>SUM(Q424:Q430)</f>
        <v>68.010000000000005</v>
      </c>
      <c r="J431" s="23">
        <f>Source!AT190</f>
        <v>97</v>
      </c>
      <c r="K431" s="26">
        <f>SUM(R424:R430)</f>
        <v>3928.06</v>
      </c>
    </row>
    <row r="432" spans="1:35" ht="14.25">
      <c r="A432" s="22"/>
      <c r="B432" s="22"/>
      <c r="C432" s="22" t="s">
        <v>489</v>
      </c>
      <c r="D432" s="24" t="s">
        <v>488</v>
      </c>
      <c r="E432" s="23">
        <f>Source!CA190</f>
        <v>51</v>
      </c>
      <c r="F432" s="26"/>
      <c r="G432" s="25"/>
      <c r="H432" s="23"/>
      <c r="I432" s="26">
        <f>SUM(S424:S431)</f>
        <v>35.76</v>
      </c>
      <c r="J432" s="23">
        <f>Source!AU190</f>
        <v>51</v>
      </c>
      <c r="K432" s="26">
        <f>SUM(T424:T431)</f>
        <v>2065.27</v>
      </c>
    </row>
    <row r="433" spans="1:35" ht="28.5">
      <c r="A433" s="28"/>
      <c r="B433" s="28"/>
      <c r="C433" s="28" t="s">
        <v>490</v>
      </c>
      <c r="D433" s="29" t="s">
        <v>491</v>
      </c>
      <c r="E433" s="30">
        <f>Source!AQ190</f>
        <v>84.74</v>
      </c>
      <c r="F433" s="31"/>
      <c r="G433" s="32" t="str">
        <f>Source!DI190</f>
        <v>*1,2)*1,05</v>
      </c>
      <c r="H433" s="30">
        <f>Source!AV190</f>
        <v>1</v>
      </c>
      <c r="I433" s="31">
        <f>Source!U190</f>
        <v>5.3386199999999997</v>
      </c>
      <c r="J433" s="30"/>
      <c r="K433" s="31"/>
      <c r="AB433" s="27">
        <f>I433</f>
        <v>5.3386199999999997</v>
      </c>
    </row>
    <row r="434" spans="1:35" ht="15">
      <c r="C434" s="33" t="s">
        <v>492</v>
      </c>
      <c r="H434" s="69">
        <f>I426+I427+I429+I431+I432+SUM(I430:I430)-SUMIF(AI430:AI430, 5, I430:I430)-SUMIF(AI430:AI430, 6, I430:I430)</f>
        <v>182.07</v>
      </c>
      <c r="I434" s="69"/>
      <c r="J434" s="69">
        <f>K426+K427+K429+K431+K432+SUM(K430:K430)-SUMIF(AI430:AI430, 5, K430:K430)-SUMIF(AI430:AI430, 6, K430:K430)</f>
        <v>10089.790000000001</v>
      </c>
      <c r="K434" s="69"/>
    </row>
    <row r="435" spans="1:35" ht="15" hidden="1">
      <c r="C435" s="33" t="s">
        <v>493</v>
      </c>
      <c r="H435" s="68">
        <f>SUMIF(AI430:AI430, 5, I430:I430)+SUMIF(AI430:AI430, 6, I430:I430)</f>
        <v>0</v>
      </c>
      <c r="I435" s="68"/>
      <c r="J435" s="68">
        <f>SUMIF(AI430:AI430, 5, K430:K430)+SUMIF(AI430:AI430, 6, K430:K430)</f>
        <v>0</v>
      </c>
      <c r="K435" s="68"/>
    </row>
    <row r="436" spans="1:35" ht="15">
      <c r="H436" s="68"/>
      <c r="I436" s="68"/>
      <c r="J436" s="68"/>
      <c r="K436" s="68"/>
      <c r="O436" s="27">
        <f>I426+I427+I429+I431+I432+SUM(I430:I430)</f>
        <v>182.07</v>
      </c>
      <c r="P436" s="27">
        <f>K426+K427+K429+K431+K432+SUM(K430:K430)</f>
        <v>10089.790000000001</v>
      </c>
      <c r="X436">
        <f>IF(Source!BI190&lt;=1,I426+I427+I429+I431+I432-0, 0)</f>
        <v>0</v>
      </c>
      <c r="Y436">
        <f>IF(Source!BI190=2,I426+I427+I429+I431+I432-0, 0)</f>
        <v>182.07</v>
      </c>
      <c r="Z436">
        <f>IF(Source!BI190=3,I426+I427+I429+I431+I432-0, 0)</f>
        <v>0</v>
      </c>
      <c r="AA436">
        <f>IF(Source!BI190=4,I426+I427+I429+I431+I432,0)</f>
        <v>0</v>
      </c>
    </row>
    <row r="438" spans="1:35" ht="128.25">
      <c r="A438" s="28">
        <v>41</v>
      </c>
      <c r="B438" s="28" t="str">
        <f>Source!F192</f>
        <v>1.22-8-16</v>
      </c>
      <c r="C438" s="28" t="s">
        <v>457</v>
      </c>
      <c r="D438" s="29" t="str">
        <f>Source!H192</f>
        <v>шт.</v>
      </c>
      <c r="E438" s="30">
        <f>Source!I192</f>
        <v>5</v>
      </c>
      <c r="F438" s="31">
        <f>Source!AL192</f>
        <v>1390.42</v>
      </c>
      <c r="G438" s="32" t="str">
        <f>Source!DD192</f>
        <v/>
      </c>
      <c r="H438" s="30">
        <f>Source!AW192</f>
        <v>1</v>
      </c>
      <c r="I438" s="31">
        <f>ROUND((ROUND((Source!AC192*Source!AW192*Source!I192),2)),2)</f>
        <v>6952.1</v>
      </c>
      <c r="J438" s="30">
        <f>IF(Source!BC192&lt;&gt; 0, Source!BC192, 1)</f>
        <v>6.14</v>
      </c>
      <c r="K438" s="31">
        <f>Source!P192</f>
        <v>42685.89</v>
      </c>
      <c r="Q438">
        <f>ROUND((Source!BZ192/100)*(ROUND((ROUND((Source!AF192*Source!AV192*Source!I192),2)),2)+(ROUND((ROUND(((Source!EU192)*Source!AV192*Source!I192),2)),2)+ROUND((ROUND(((Source!AE192-(Source!EU192))*Source!AV192*Source!I192),2)),2))), 2)</f>
        <v>0</v>
      </c>
      <c r="R438">
        <f>Source!X192</f>
        <v>0</v>
      </c>
      <c r="S438">
        <f>ROUND((Source!CA192/100)*(ROUND((ROUND((Source!AF192*Source!AV192*Source!I192),2)),2)+(ROUND((ROUND(((Source!EU192)*Source!AV192*Source!I192),2)),2)+ROUND((ROUND(((Source!AE192-(Source!EU192))*Source!AV192*Source!I192),2)),2))), 2)</f>
        <v>0</v>
      </c>
      <c r="T438">
        <f>Source!Y192</f>
        <v>0</v>
      </c>
      <c r="U438">
        <f>ROUND((175/100)*((ROUND((ROUND(((Source!EU192)*Source!AV192*Source!I192),2)),2)+ROUND((ROUND(((Source!AE192-(Source!EU192))*Source!AV192*Source!I192),2)),2))), 2)</f>
        <v>0</v>
      </c>
      <c r="V438">
        <f>ROUND((0/100)*((ROUND((ROUND(((Source!EU192)*Source!AV192*Source!I192),2)*Source!BS192),2)+ROUND((ROUND(((Source!AE192-(Source!EU192))*Source!AV192*Source!I192),2)*Source!BS192),2))), 2)</f>
        <v>0</v>
      </c>
      <c r="AI438">
        <v>3</v>
      </c>
    </row>
    <row r="439" spans="1:35" ht="15">
      <c r="C439" s="33" t="s">
        <v>497</v>
      </c>
      <c r="H439" s="69">
        <f>I438+0</f>
        <v>6952.1</v>
      </c>
      <c r="I439" s="69"/>
      <c r="J439" s="69">
        <f>K438+0</f>
        <v>42685.89</v>
      </c>
      <c r="K439" s="69"/>
      <c r="O439" s="27">
        <f>I438+0</f>
        <v>6952.1</v>
      </c>
      <c r="P439" s="27">
        <f>K438+0</f>
        <v>42685.89</v>
      </c>
      <c r="X439">
        <f>IF(Source!BI192&lt;=1,I438-0, 0)</f>
        <v>0</v>
      </c>
      <c r="Y439">
        <f>IF(Source!BI192=2,I438-0, 0)</f>
        <v>6952.1</v>
      </c>
      <c r="Z439">
        <f>IF(Source!BI192=3,I438-0, 0)</f>
        <v>0</v>
      </c>
      <c r="AA439">
        <f>IF(Source!BI192=4,I438,0)</f>
        <v>0</v>
      </c>
    </row>
    <row r="441" spans="1:35" ht="28.5">
      <c r="A441" s="22">
        <v>42</v>
      </c>
      <c r="B441" s="22" t="str">
        <f>Source!F193</f>
        <v>4.8-328-4</v>
      </c>
      <c r="C441" s="22" t="s">
        <v>360</v>
      </c>
      <c r="D441" s="24" t="str">
        <f>Source!H193</f>
        <v>100 шт.</v>
      </c>
      <c r="E441" s="23">
        <f>Source!I193</f>
        <v>0.05</v>
      </c>
      <c r="F441" s="26"/>
      <c r="G441" s="25"/>
      <c r="H441" s="23"/>
      <c r="I441" s="26"/>
      <c r="J441" s="23"/>
      <c r="K441" s="26"/>
      <c r="Q441">
        <f>ROUND((Source!BZ193/100)*(ROUND((ROUND((Source!AF193*Source!AV193*Source!I193),2)),2)+(ROUND((ROUND(((((Source!EU193*1.2)*1))*Source!AV193*Source!I193),2)),2)+ROUND((ROUND(((Source!AE193-(((Source!EU193*1.2)*1)))*Source!AV193*Source!I193),2)),2))), 2)</f>
        <v>81.3</v>
      </c>
      <c r="R441">
        <f>Source!X193</f>
        <v>4695.6400000000003</v>
      </c>
      <c r="S441">
        <f>ROUND((Source!CA193/100)*(ROUND((ROUND((Source!AF193*Source!AV193*Source!I193),2)),2)+(ROUND((ROUND(((((Source!EU193*1.2)*1))*Source!AV193*Source!I193),2)),2)+ROUND((ROUND(((Source!AE193-(((Source!EU193*1.2)*1)))*Source!AV193*Source!I193),2)),2))), 2)</f>
        <v>42.74</v>
      </c>
      <c r="T441">
        <f>Source!Y193</f>
        <v>2468.84</v>
      </c>
      <c r="U441">
        <f>ROUND((175/100)*((ROUND((ROUND(((((Source!EU193*1.2)*1))*Source!AV193*Source!I193),2)),2)+ROUND((ROUND(((Source!AE193-(((Source!EU193*1.2)*1)))*Source!AV193*Source!I193),2)),2))), 2)</f>
        <v>0.04</v>
      </c>
      <c r="V441">
        <f>ROUND((0/100)*((ROUND((ROUND(((((Source!EU193*1.2)*1))*Source!AV193*Source!I193),2)*Source!BS193),2)+ROUND((ROUND(((Source!AE193-(((Source!EU193*1.2)*1)))*Source!AV193*Source!I193),2)*Source!BS193),2))), 2)</f>
        <v>0</v>
      </c>
      <c r="AI441">
        <v>0</v>
      </c>
    </row>
    <row r="442" spans="1:35">
      <c r="C442" s="36" t="str">
        <f>"Объем: "&amp;Source!I193&amp;"=(5)/"&amp;"100"</f>
        <v>Объем: 0,05=(5)/100</v>
      </c>
    </row>
    <row r="443" spans="1:35" ht="28.5">
      <c r="A443" s="22"/>
      <c r="B443" s="22"/>
      <c r="C443" s="22" t="s">
        <v>485</v>
      </c>
      <c r="D443" s="24"/>
      <c r="E443" s="23"/>
      <c r="F443" s="26">
        <f>Source!AO193</f>
        <v>1330.06</v>
      </c>
      <c r="G443" s="25" t="str">
        <f>Source!DG193</f>
        <v>*1,2)*1,05</v>
      </c>
      <c r="H443" s="23">
        <f>Source!AV193</f>
        <v>1</v>
      </c>
      <c r="I443" s="26">
        <f>ROUND((ROUND((Source!AF193*Source!AV193*Source!I193),2)),2)</f>
        <v>83.79</v>
      </c>
      <c r="J443" s="23">
        <f>IF(Source!BA193&lt;&gt; 0, Source!BA193, 1)</f>
        <v>57.76</v>
      </c>
      <c r="K443" s="26">
        <f>Source!S193</f>
        <v>4839.71</v>
      </c>
      <c r="W443">
        <f>I443</f>
        <v>83.79</v>
      </c>
    </row>
    <row r="444" spans="1:35" ht="14.25">
      <c r="A444" s="22"/>
      <c r="B444" s="22"/>
      <c r="C444" s="22" t="s">
        <v>486</v>
      </c>
      <c r="D444" s="24"/>
      <c r="E444" s="23"/>
      <c r="F444" s="26">
        <f>Source!AM193</f>
        <v>3.56</v>
      </c>
      <c r="G444" s="25" t="str">
        <f>Source!DE193</f>
        <v>*1,2)*1</v>
      </c>
      <c r="H444" s="23">
        <f>Source!AV193</f>
        <v>1</v>
      </c>
      <c r="I444" s="26">
        <f>(ROUND((ROUND(((((Source!ET193*1.2)*1))*Source!AV193*Source!I193),2)),2)+ROUND((ROUND(((Source!AE193-(((Source!EU193*1.2)*1)))*Source!AV193*Source!I193),2)),2))</f>
        <v>0.21</v>
      </c>
      <c r="J444" s="23">
        <f>IF(Source!BB193&lt;&gt; 0, Source!BB193, 1)</f>
        <v>12.56</v>
      </c>
      <c r="K444" s="26">
        <f>Source!Q193</f>
        <v>2.64</v>
      </c>
    </row>
    <row r="445" spans="1:35" ht="14.25">
      <c r="A445" s="22"/>
      <c r="B445" s="22"/>
      <c r="C445" s="22" t="s">
        <v>494</v>
      </c>
      <c r="D445" s="24"/>
      <c r="E445" s="23"/>
      <c r="F445" s="26">
        <f>Source!AN193</f>
        <v>0.25</v>
      </c>
      <c r="G445" s="25" t="str">
        <f>Source!DF193</f>
        <v>*1,2)*1</v>
      </c>
      <c r="H445" s="23">
        <f>Source!AV193</f>
        <v>1</v>
      </c>
      <c r="I445" s="34">
        <f>(ROUND((ROUND(((((Source!EU193*1.2)*1))*Source!AV193*Source!I193),2)),2)+ROUND((ROUND(((Source!AE193-(((Source!EU193*1.2)*1)))*Source!AV193*Source!I193),2)),2))</f>
        <v>0.02</v>
      </c>
      <c r="J445" s="23">
        <f>IF(Source!BS193&lt;&gt; 0, Source!BS193, 1)</f>
        <v>57.76</v>
      </c>
      <c r="K445" s="34">
        <f>Source!R193</f>
        <v>1.1599999999999999</v>
      </c>
      <c r="W445">
        <f>I445</f>
        <v>0.02</v>
      </c>
    </row>
    <row r="446" spans="1:35" ht="14.25">
      <c r="A446" s="22"/>
      <c r="B446" s="22"/>
      <c r="C446" s="22" t="s">
        <v>495</v>
      </c>
      <c r="D446" s="24"/>
      <c r="E446" s="23"/>
      <c r="F446" s="26">
        <f>Source!AL193</f>
        <v>1.28</v>
      </c>
      <c r="G446" s="25" t="str">
        <f>Source!DD193</f>
        <v>*1)*1</v>
      </c>
      <c r="H446" s="23">
        <f>Source!AW193</f>
        <v>1</v>
      </c>
      <c r="I446" s="26">
        <f>ROUND((ROUND((Source!AC193*Source!AW193*Source!I193),2)),2)</f>
        <v>0.06</v>
      </c>
      <c r="J446" s="23">
        <f>IF(Source!BC193&lt;&gt; 0, Source!BC193, 1)</f>
        <v>4.9800000000000004</v>
      </c>
      <c r="K446" s="26">
        <f>Source!P193</f>
        <v>0.3</v>
      </c>
    </row>
    <row r="447" spans="1:35" ht="57">
      <c r="A447" s="22" t="s">
        <v>362</v>
      </c>
      <c r="B447" s="22" t="str">
        <f>Source!F194</f>
        <v>1.21-5-923</v>
      </c>
      <c r="C447" s="22" t="s">
        <v>364</v>
      </c>
      <c r="D447" s="24" t="str">
        <f>Source!H194</f>
        <v>шт.</v>
      </c>
      <c r="E447" s="23">
        <f>Source!I194</f>
        <v>5</v>
      </c>
      <c r="F447" s="26">
        <f>Source!AK194</f>
        <v>21.62</v>
      </c>
      <c r="G447" s="35" t="s">
        <v>3</v>
      </c>
      <c r="H447" s="23">
        <f>Source!AW194</f>
        <v>1</v>
      </c>
      <c r="I447" s="26">
        <f>ROUND((ROUND((Source!AC194*Source!AW194*Source!I194),2)),2)+(ROUND((ROUND(((Source!ET194)*Source!AV194*Source!I194),2)),2)+ROUND((ROUND(((Source!AE194-(Source!EU194))*Source!AV194*Source!I194),2)),2))+ROUND((ROUND((Source!AF194*Source!AV194*Source!I194),2)),2)</f>
        <v>108.1</v>
      </c>
      <c r="J447" s="23">
        <f>IF(Source!BC194&lt;&gt; 0, Source!BC194, 1)</f>
        <v>5.45</v>
      </c>
      <c r="K447" s="26">
        <f>Source!O194</f>
        <v>589.15</v>
      </c>
      <c r="Q447">
        <f>ROUND((Source!BZ194/100)*(ROUND((ROUND((Source!AF194*Source!AV194*Source!I194),2)),2)+(ROUND((ROUND(((Source!EU194)*Source!AV194*Source!I194),2)),2)+ROUND((ROUND(((Source!AE194-(Source!EU194))*Source!AV194*Source!I194),2)),2))), 2)</f>
        <v>0</v>
      </c>
      <c r="R447">
        <f>Source!X194</f>
        <v>0</v>
      </c>
      <c r="S447">
        <f>ROUND((Source!CA194/100)*(ROUND((ROUND((Source!AF194*Source!AV194*Source!I194),2)),2)+(ROUND((ROUND(((Source!EU194)*Source!AV194*Source!I194),2)),2)+ROUND((ROUND(((Source!AE194-(Source!EU194))*Source!AV194*Source!I194),2)),2))), 2)</f>
        <v>0</v>
      </c>
      <c r="T447">
        <f>Source!Y194</f>
        <v>0</v>
      </c>
      <c r="U447">
        <f>ROUND((175/100)*((ROUND((ROUND(((Source!EU194)*Source!AV194*Source!I194),2)),2)+ROUND((ROUND(((Source!AE194-(Source!EU194))*Source!AV194*Source!I194),2)),2))), 2)</f>
        <v>0</v>
      </c>
      <c r="V447">
        <f>ROUND((0/100)*((ROUND((ROUND(((Source!EU194)*Source!AV194*Source!I194),2)*Source!BS194),2)+ROUND((ROUND(((Source!AE194-(Source!EU194))*Source!AV194*Source!I194),2)*Source!BS194),2))), 2)</f>
        <v>0</v>
      </c>
      <c r="X447">
        <f>IF(Source!BI194&lt;=1,I447, 0)</f>
        <v>0</v>
      </c>
      <c r="Y447">
        <f>IF(Source!BI194=2,I447, 0)</f>
        <v>108.1</v>
      </c>
      <c r="Z447">
        <f>IF(Source!BI194=3,I447, 0)</f>
        <v>0</v>
      </c>
      <c r="AA447">
        <f>IF(Source!BI194=4,I447, 0)</f>
        <v>0</v>
      </c>
      <c r="AI447">
        <v>3</v>
      </c>
    </row>
    <row r="448" spans="1:35" ht="14.25">
      <c r="A448" s="22"/>
      <c r="B448" s="22"/>
      <c r="C448" s="22" t="s">
        <v>487</v>
      </c>
      <c r="D448" s="24" t="s">
        <v>488</v>
      </c>
      <c r="E448" s="23">
        <f>Source!BZ193</f>
        <v>97</v>
      </c>
      <c r="F448" s="26"/>
      <c r="G448" s="25"/>
      <c r="H448" s="23"/>
      <c r="I448" s="26">
        <f>SUM(Q441:Q447)</f>
        <v>81.3</v>
      </c>
      <c r="J448" s="23">
        <f>Source!AT193</f>
        <v>97</v>
      </c>
      <c r="K448" s="26">
        <f>SUM(R441:R447)</f>
        <v>4695.6400000000003</v>
      </c>
    </row>
    <row r="449" spans="1:35" ht="14.25">
      <c r="A449" s="22"/>
      <c r="B449" s="22"/>
      <c r="C449" s="22" t="s">
        <v>489</v>
      </c>
      <c r="D449" s="24" t="s">
        <v>488</v>
      </c>
      <c r="E449" s="23">
        <f>Source!CA193</f>
        <v>51</v>
      </c>
      <c r="F449" s="26"/>
      <c r="G449" s="25"/>
      <c r="H449" s="23"/>
      <c r="I449" s="26">
        <f>SUM(S441:S448)</f>
        <v>42.74</v>
      </c>
      <c r="J449" s="23">
        <f>Source!AU193</f>
        <v>51</v>
      </c>
      <c r="K449" s="26">
        <f>SUM(T441:T448)</f>
        <v>2468.84</v>
      </c>
    </row>
    <row r="450" spans="1:35" ht="28.5">
      <c r="A450" s="28"/>
      <c r="B450" s="28"/>
      <c r="C450" s="28" t="s">
        <v>490</v>
      </c>
      <c r="D450" s="29" t="s">
        <v>491</v>
      </c>
      <c r="E450" s="30">
        <f>Source!AQ193</f>
        <v>94.89</v>
      </c>
      <c r="F450" s="31"/>
      <c r="G450" s="32" t="str">
        <f>Source!DI193</f>
        <v>*1,2)*1,05</v>
      </c>
      <c r="H450" s="30">
        <f>Source!AV193</f>
        <v>1</v>
      </c>
      <c r="I450" s="31">
        <f>Source!U193</f>
        <v>5.9780700000000007</v>
      </c>
      <c r="J450" s="30"/>
      <c r="K450" s="31"/>
      <c r="AB450" s="27">
        <f>I450</f>
        <v>5.9780700000000007</v>
      </c>
    </row>
    <row r="451" spans="1:35" ht="15">
      <c r="C451" s="33" t="s">
        <v>492</v>
      </c>
      <c r="H451" s="69">
        <f>I443+I444+I446+I448+I449+SUM(I447:I447)-SUMIF(AI447:AI447, 5, I447:I447)-SUMIF(AI447:AI447, 6, I447:I447)</f>
        <v>316.20000000000005</v>
      </c>
      <c r="I451" s="69"/>
      <c r="J451" s="69">
        <f>K443+K444+K446+K448+K449+SUM(K447:K447)-SUMIF(AI447:AI447, 5, K447:K447)-SUMIF(AI447:AI447, 6, K447:K447)</f>
        <v>12596.28</v>
      </c>
      <c r="K451" s="69"/>
    </row>
    <row r="452" spans="1:35" ht="15" hidden="1">
      <c r="C452" s="33" t="s">
        <v>493</v>
      </c>
      <c r="H452" s="68">
        <f>SUMIF(AI447:AI447, 5, I447:I447)+SUMIF(AI447:AI447, 6, I447:I447)</f>
        <v>0</v>
      </c>
      <c r="I452" s="68"/>
      <c r="J452" s="68">
        <f>SUMIF(AI447:AI447, 5, K447:K447)+SUMIF(AI447:AI447, 6, K447:K447)</f>
        <v>0</v>
      </c>
      <c r="K452" s="68"/>
    </row>
    <row r="453" spans="1:35" ht="15">
      <c r="H453" s="68"/>
      <c r="I453" s="68"/>
      <c r="J453" s="68"/>
      <c r="K453" s="68"/>
      <c r="O453" s="27">
        <f>I443+I444+I446+I448+I449+SUM(I447:I447)</f>
        <v>316.20000000000005</v>
      </c>
      <c r="P453" s="27">
        <f>K443+K444+K446+K448+K449+SUM(K447:K447)</f>
        <v>12596.28</v>
      </c>
      <c r="X453">
        <f>IF(Source!BI193&lt;=1,I443+I444+I446+I448+I449-0, 0)</f>
        <v>0</v>
      </c>
      <c r="Y453">
        <f>IF(Source!BI193=2,I443+I444+I446+I448+I449-0, 0)</f>
        <v>208.10000000000002</v>
      </c>
      <c r="Z453">
        <f>IF(Source!BI193=3,I443+I444+I446+I448+I449-0, 0)</f>
        <v>0</v>
      </c>
      <c r="AA453">
        <f>IF(Source!BI193=4,I443+I444+I446+I448+I449,0)</f>
        <v>0</v>
      </c>
    </row>
    <row r="455" spans="1:35" ht="85.5">
      <c r="A455" s="22">
        <v>43</v>
      </c>
      <c r="B455" s="22" t="str">
        <f>Source!F195</f>
        <v>4.11-23-1</v>
      </c>
      <c r="C455" s="22" t="s">
        <v>368</v>
      </c>
      <c r="D455" s="24" t="str">
        <f>Source!H195</f>
        <v>100 концов</v>
      </c>
      <c r="E455" s="23">
        <f>Source!I195</f>
        <v>0.15</v>
      </c>
      <c r="F455" s="26"/>
      <c r="G455" s="25"/>
      <c r="H455" s="23"/>
      <c r="I455" s="26"/>
      <c r="J455" s="23"/>
      <c r="K455" s="26"/>
      <c r="Q455">
        <f>ROUND((Source!BZ195/100)*(ROUND((ROUND((Source!AF195*Source!AV195*Source!I195),2)),2)+(ROUND((ROUND((((Source!EU195*1.2))*Source!AV195*Source!I195),2)),2)+ROUND((ROUND(((Source!AE195-((Source!EU195*1.2)))*Source!AV195*Source!I195),2)),2))), 2)</f>
        <v>24.13</v>
      </c>
      <c r="R455">
        <f>Source!X195</f>
        <v>1393.7</v>
      </c>
      <c r="S455">
        <f>ROUND((Source!CA195/100)*(ROUND((ROUND((Source!AF195*Source!AV195*Source!I195),2)),2)+(ROUND((ROUND((((Source!EU195*1.2))*Source!AV195*Source!I195),2)),2)+ROUND((ROUND(((Source!AE195-((Source!EU195*1.2)))*Source!AV195*Source!I195),2)),2))), 2)</f>
        <v>12.33</v>
      </c>
      <c r="T455">
        <f>Source!Y195</f>
        <v>712.33</v>
      </c>
      <c r="U455">
        <f>ROUND((175/100)*((ROUND((ROUND((((Source!EU195*1.2))*Source!AV195*Source!I195),2)),2)+ROUND((ROUND(((Source!AE195-((Source!EU195*1.2)))*Source!AV195*Source!I195),2)),2))), 2)</f>
        <v>0</v>
      </c>
      <c r="V455">
        <f>ROUND((0/100)*((ROUND((ROUND((((Source!EU195*1.2))*Source!AV195*Source!I195),2)*Source!BS195),2)+ROUND((ROUND(((Source!AE195-((Source!EU195*1.2)))*Source!AV195*Source!I195),2)*Source!BS195),2))), 2)</f>
        <v>0</v>
      </c>
      <c r="AI455">
        <v>0</v>
      </c>
    </row>
    <row r="456" spans="1:35">
      <c r="C456" s="36" t="str">
        <f>"Объем: "&amp;Source!I195&amp;"=(15)/"&amp;"100"</f>
        <v>Объем: 0,15=(15)/100</v>
      </c>
    </row>
    <row r="457" spans="1:35" ht="14.25">
      <c r="A457" s="22"/>
      <c r="B457" s="22"/>
      <c r="C457" s="22" t="s">
        <v>485</v>
      </c>
      <c r="D457" s="24"/>
      <c r="E457" s="23"/>
      <c r="F457" s="26">
        <f>Source!AO195</f>
        <v>148.93</v>
      </c>
      <c r="G457" s="25" t="str">
        <f>Source!DG195</f>
        <v>*1,2</v>
      </c>
      <c r="H457" s="23">
        <f>Source!AV195</f>
        <v>1</v>
      </c>
      <c r="I457" s="26">
        <f>ROUND((ROUND((Source!AF195*Source!AV195*Source!I195),2)),2)</f>
        <v>26.81</v>
      </c>
      <c r="J457" s="23">
        <f>IF(Source!BA195&lt;&gt; 0, Source!BA195, 1)</f>
        <v>57.76</v>
      </c>
      <c r="K457" s="26">
        <f>Source!S195</f>
        <v>1548.55</v>
      </c>
      <c r="W457">
        <f>I457</f>
        <v>26.81</v>
      </c>
    </row>
    <row r="458" spans="1:35" ht="14.25">
      <c r="A458" s="22"/>
      <c r="B458" s="22"/>
      <c r="C458" s="22" t="s">
        <v>495</v>
      </c>
      <c r="D458" s="24"/>
      <c r="E458" s="23"/>
      <c r="F458" s="26">
        <f>Source!AL195</f>
        <v>14.81</v>
      </c>
      <c r="G458" s="25" t="str">
        <f>Source!DD195</f>
        <v>*1</v>
      </c>
      <c r="H458" s="23">
        <f>Source!AW195</f>
        <v>1</v>
      </c>
      <c r="I458" s="26">
        <f>ROUND((ROUND((Source!AC195*Source!AW195*Source!I195),2)),2)</f>
        <v>2.2200000000000002</v>
      </c>
      <c r="J458" s="23">
        <f>IF(Source!BC195&lt;&gt; 0, Source!BC195, 1)</f>
        <v>20.39</v>
      </c>
      <c r="K458" s="26">
        <f>Source!P195</f>
        <v>45.27</v>
      </c>
    </row>
    <row r="459" spans="1:35" ht="14.25">
      <c r="A459" s="22"/>
      <c r="B459" s="22"/>
      <c r="C459" s="22" t="s">
        <v>487</v>
      </c>
      <c r="D459" s="24" t="s">
        <v>488</v>
      </c>
      <c r="E459" s="23">
        <f>Source!BZ195</f>
        <v>90</v>
      </c>
      <c r="F459" s="26"/>
      <c r="G459" s="25"/>
      <c r="H459" s="23"/>
      <c r="I459" s="26">
        <f>SUM(Q455:Q458)</f>
        <v>24.13</v>
      </c>
      <c r="J459" s="23">
        <f>Source!AT195</f>
        <v>90</v>
      </c>
      <c r="K459" s="26">
        <f>SUM(R455:R458)</f>
        <v>1393.7</v>
      </c>
    </row>
    <row r="460" spans="1:35" ht="14.25">
      <c r="A460" s="22"/>
      <c r="B460" s="22"/>
      <c r="C460" s="22" t="s">
        <v>489</v>
      </c>
      <c r="D460" s="24" t="s">
        <v>488</v>
      </c>
      <c r="E460" s="23">
        <f>Source!CA195</f>
        <v>46</v>
      </c>
      <c r="F460" s="26"/>
      <c r="G460" s="25"/>
      <c r="H460" s="23"/>
      <c r="I460" s="26">
        <f>SUM(S455:S459)</f>
        <v>12.33</v>
      </c>
      <c r="J460" s="23">
        <f>Source!AU195</f>
        <v>46</v>
      </c>
      <c r="K460" s="26">
        <f>SUM(T455:T459)</f>
        <v>712.33</v>
      </c>
    </row>
    <row r="461" spans="1:35" ht="14.25">
      <c r="A461" s="28"/>
      <c r="B461" s="28"/>
      <c r="C461" s="28" t="s">
        <v>490</v>
      </c>
      <c r="D461" s="29" t="s">
        <v>491</v>
      </c>
      <c r="E461" s="30">
        <f>Source!AQ195</f>
        <v>11.3</v>
      </c>
      <c r="F461" s="31"/>
      <c r="G461" s="32" t="str">
        <f>Source!DI195</f>
        <v>*1,2</v>
      </c>
      <c r="H461" s="30">
        <f>Source!AV195</f>
        <v>1</v>
      </c>
      <c r="I461" s="31">
        <f>Source!U195</f>
        <v>2.0339999999999998</v>
      </c>
      <c r="J461" s="30"/>
      <c r="K461" s="31"/>
      <c r="AB461" s="27">
        <f>I461</f>
        <v>2.0339999999999998</v>
      </c>
    </row>
    <row r="462" spans="1:35" ht="15">
      <c r="C462" s="33" t="s">
        <v>492</v>
      </c>
      <c r="H462" s="69">
        <f>I457+I458+I459+I460+0-0-0</f>
        <v>65.489999999999995</v>
      </c>
      <c r="I462" s="69"/>
      <c r="J462" s="69">
        <f>K457+K458+K459+K460+0-0-0</f>
        <v>3699.85</v>
      </c>
      <c r="K462" s="69"/>
    </row>
    <row r="463" spans="1:35" ht="15" hidden="1">
      <c r="C463" s="33" t="s">
        <v>493</v>
      </c>
      <c r="H463" s="68">
        <f>0+0</f>
        <v>0</v>
      </c>
      <c r="I463" s="68"/>
      <c r="J463" s="68">
        <f>0+0</f>
        <v>0</v>
      </c>
      <c r="K463" s="68"/>
    </row>
    <row r="464" spans="1:35" ht="15">
      <c r="H464" s="68"/>
      <c r="I464" s="68"/>
      <c r="J464" s="68"/>
      <c r="K464" s="68"/>
      <c r="O464" s="27">
        <f>I457+I458+I459+I460+0</f>
        <v>65.489999999999995</v>
      </c>
      <c r="P464" s="27">
        <f>K457+K458+K459+K460+0</f>
        <v>3699.85</v>
      </c>
      <c r="X464">
        <f>IF(Source!BI195&lt;=1,I457+I458+I459+I460-0, 0)</f>
        <v>0</v>
      </c>
      <c r="Y464">
        <f>IF(Source!BI195=2,I457+I458+I459+I460-0, 0)</f>
        <v>65.489999999999995</v>
      </c>
      <c r="Z464">
        <f>IF(Source!BI195=3,I457+I458+I459+I460-0, 0)</f>
        <v>0</v>
      </c>
      <c r="AA464">
        <f>IF(Source!BI195=4,I457+I458+I459+I460,0)</f>
        <v>0</v>
      </c>
    </row>
    <row r="466" spans="1:35" ht="99.75">
      <c r="A466" s="22">
        <v>44</v>
      </c>
      <c r="B466" s="22" t="str">
        <f>Source!F196</f>
        <v>4.8-241-1</v>
      </c>
      <c r="C466" s="22" t="s">
        <v>91</v>
      </c>
      <c r="D466" s="24" t="str">
        <f>Source!H196</f>
        <v>100 жил</v>
      </c>
      <c r="E466" s="23">
        <f>Source!I196</f>
        <v>0.06</v>
      </c>
      <c r="F466" s="26"/>
      <c r="G466" s="25"/>
      <c r="H466" s="23"/>
      <c r="I466" s="26"/>
      <c r="J466" s="23"/>
      <c r="K466" s="26"/>
      <c r="Q466">
        <f>ROUND((Source!BZ196/100)*(ROUND((ROUND((Source!AF196*Source!AV196*Source!I196),2)),2)+(ROUND((ROUND((((Source!EU196*1.2))*Source!AV196*Source!I196),2)),2)+ROUND((ROUND(((Source!AE196-((Source!EU196*1.2)))*Source!AV196*Source!I196),2)),2))), 2)</f>
        <v>14.03</v>
      </c>
      <c r="R466">
        <f>Source!X196</f>
        <v>810.15</v>
      </c>
      <c r="S466">
        <f>ROUND((Source!CA196/100)*(ROUND((ROUND((Source!AF196*Source!AV196*Source!I196),2)),2)+(ROUND((ROUND((((Source!EU196*1.2))*Source!AV196*Source!I196),2)),2)+ROUND((ROUND(((Source!AE196-((Source!EU196*1.2)))*Source!AV196*Source!I196),2)),2))), 2)</f>
        <v>7.37</v>
      </c>
      <c r="T466">
        <f>Source!Y196</f>
        <v>425.96</v>
      </c>
      <c r="U466">
        <f>ROUND((175/100)*((ROUND((ROUND((((Source!EU196*1.2))*Source!AV196*Source!I196),2)),2)+ROUND((ROUND(((Source!AE196-((Source!EU196*1.2)))*Source!AV196*Source!I196),2)),2))), 2)</f>
        <v>0.02</v>
      </c>
      <c r="V466">
        <f>ROUND((0/100)*((ROUND((ROUND((((Source!EU196*1.2))*Source!AV196*Source!I196),2)*Source!BS196),2)+ROUND((ROUND(((Source!AE196-((Source!EU196*1.2)))*Source!AV196*Source!I196),2)*Source!BS196),2))), 2)</f>
        <v>0</v>
      </c>
      <c r="AI466">
        <v>0</v>
      </c>
    </row>
    <row r="467" spans="1:35">
      <c r="C467" s="36" t="str">
        <f>"Объем: "&amp;Source!I196&amp;"=6/"&amp;"100"</f>
        <v>Объем: 0,06=6/100</v>
      </c>
    </row>
    <row r="468" spans="1:35" ht="14.25">
      <c r="A468" s="22"/>
      <c r="B468" s="22"/>
      <c r="C468" s="22" t="s">
        <v>485</v>
      </c>
      <c r="D468" s="24"/>
      <c r="E468" s="23"/>
      <c r="F468" s="26">
        <f>Source!AO196</f>
        <v>200.7</v>
      </c>
      <c r="G468" s="25" t="str">
        <f>Source!DG196</f>
        <v>*1,2</v>
      </c>
      <c r="H468" s="23">
        <f>Source!AV196</f>
        <v>1</v>
      </c>
      <c r="I468" s="26">
        <f>ROUND((ROUND((Source!AF196*Source!AV196*Source!I196),2)),2)</f>
        <v>14.45</v>
      </c>
      <c r="J468" s="23">
        <f>IF(Source!BA196&lt;&gt; 0, Source!BA196, 1)</f>
        <v>57.76</v>
      </c>
      <c r="K468" s="26">
        <f>Source!S196</f>
        <v>834.63</v>
      </c>
      <c r="W468">
        <f>I468</f>
        <v>14.45</v>
      </c>
    </row>
    <row r="469" spans="1:35" ht="14.25">
      <c r="A469" s="22"/>
      <c r="B469" s="22"/>
      <c r="C469" s="22" t="s">
        <v>486</v>
      </c>
      <c r="D469" s="24"/>
      <c r="E469" s="23"/>
      <c r="F469" s="26">
        <f>Source!AM196</f>
        <v>0.83</v>
      </c>
      <c r="G469" s="25" t="str">
        <f>Source!DE196</f>
        <v>*1,2</v>
      </c>
      <c r="H469" s="23">
        <f>Source!AV196</f>
        <v>1</v>
      </c>
      <c r="I469" s="26">
        <f>(ROUND((ROUND((((Source!ET196*1.2))*Source!AV196*Source!I196),2)),2)+ROUND((ROUND(((Source!AE196-((Source!EU196*1.2)))*Source!AV196*Source!I196),2)),2))</f>
        <v>0.06</v>
      </c>
      <c r="J469" s="23">
        <f>IF(Source!BB196&lt;&gt; 0, Source!BB196, 1)</f>
        <v>18.04</v>
      </c>
      <c r="K469" s="26">
        <f>Source!Q196</f>
        <v>1.08</v>
      </c>
    </row>
    <row r="470" spans="1:35" ht="14.25">
      <c r="A470" s="22"/>
      <c r="B470" s="22"/>
      <c r="C470" s="22" t="s">
        <v>494</v>
      </c>
      <c r="D470" s="24"/>
      <c r="E470" s="23"/>
      <c r="F470" s="26">
        <f>Source!AN196</f>
        <v>0.13</v>
      </c>
      <c r="G470" s="25" t="str">
        <f>Source!DF196</f>
        <v>*1,2</v>
      </c>
      <c r="H470" s="23">
        <f>Source!AV196</f>
        <v>1</v>
      </c>
      <c r="I470" s="34">
        <f>(ROUND((ROUND((((Source!EU196*1.2))*Source!AV196*Source!I196),2)),2)+ROUND((ROUND(((Source!AE196-((Source!EU196*1.2)))*Source!AV196*Source!I196),2)),2))</f>
        <v>0.01</v>
      </c>
      <c r="J470" s="23">
        <f>IF(Source!BS196&lt;&gt; 0, Source!BS196, 1)</f>
        <v>57.76</v>
      </c>
      <c r="K470" s="34">
        <f>Source!R196</f>
        <v>0.57999999999999996</v>
      </c>
      <c r="W470">
        <f>I470</f>
        <v>0.01</v>
      </c>
    </row>
    <row r="471" spans="1:35" ht="14.25">
      <c r="A471" s="22"/>
      <c r="B471" s="22"/>
      <c r="C471" s="22" t="s">
        <v>495</v>
      </c>
      <c r="D471" s="24"/>
      <c r="E471" s="23"/>
      <c r="F471" s="26">
        <f>Source!AL196</f>
        <v>74.099999999999994</v>
      </c>
      <c r="G471" s="25" t="str">
        <f>Source!DD196</f>
        <v>*1</v>
      </c>
      <c r="H471" s="23">
        <f>Source!AW196</f>
        <v>1</v>
      </c>
      <c r="I471" s="26">
        <f>ROUND((ROUND((Source!AC196*Source!AW196*Source!I196),2)),2)</f>
        <v>4.45</v>
      </c>
      <c r="J471" s="23">
        <f>IF(Source!BC196&lt;&gt; 0, Source!BC196, 1)</f>
        <v>5.63</v>
      </c>
      <c r="K471" s="26">
        <f>Source!P196</f>
        <v>25.05</v>
      </c>
    </row>
    <row r="472" spans="1:35" ht="28.5">
      <c r="A472" s="22" t="s">
        <v>374</v>
      </c>
      <c r="B472" s="22" t="str">
        <f>Source!F197</f>
        <v>3449800000</v>
      </c>
      <c r="C472" s="22" t="s">
        <v>35</v>
      </c>
      <c r="D472" s="24" t="str">
        <f>Source!H197</f>
        <v>шт.</v>
      </c>
      <c r="E472" s="23">
        <f>Source!I197</f>
        <v>6.12</v>
      </c>
      <c r="F472" s="26">
        <f>Source!AK197</f>
        <v>0</v>
      </c>
      <c r="G472" s="35" t="s">
        <v>3</v>
      </c>
      <c r="H472" s="23">
        <f>Source!AW197</f>
        <v>1</v>
      </c>
      <c r="I472" s="26">
        <f>ROUND((ROUND((Source!AC197*Source!AW197*Source!I197),2)),2)+(ROUND((ROUND(((Source!ET197)*Source!AV197*Source!I197),2)),2)+ROUND((ROUND(((Source!AE197-(Source!EU197))*Source!AV197*Source!I197),2)),2))+ROUND((ROUND((Source!AF197*Source!AV197*Source!I197),2)),2)</f>
        <v>0</v>
      </c>
      <c r="J472" s="23">
        <f>IF(Source!BC197&lt;&gt; 0, Source!BC197, 1)</f>
        <v>1</v>
      </c>
      <c r="K472" s="26">
        <f>Source!O197</f>
        <v>0</v>
      </c>
      <c r="Q472">
        <f>ROUND((Source!BZ197/100)*(ROUND((ROUND((Source!AF197*Source!AV197*Source!I197),2)),2)+(ROUND((ROUND(((Source!EU197)*Source!AV197*Source!I197),2)),2)+ROUND((ROUND(((Source!AE197-(Source!EU197))*Source!AV197*Source!I197),2)),2))), 2)</f>
        <v>0</v>
      </c>
      <c r="R472">
        <f>Source!X197</f>
        <v>0</v>
      </c>
      <c r="S472">
        <f>ROUND((Source!CA197/100)*(ROUND((ROUND((Source!AF197*Source!AV197*Source!I197),2)),2)+(ROUND((ROUND(((Source!EU197)*Source!AV197*Source!I197),2)),2)+ROUND((ROUND(((Source!AE197-(Source!EU197))*Source!AV197*Source!I197),2)),2))), 2)</f>
        <v>0</v>
      </c>
      <c r="T472">
        <f>Source!Y197</f>
        <v>0</v>
      </c>
      <c r="U472">
        <f>ROUND((175/100)*((ROUND((ROUND(((Source!EU197)*Source!AV197*Source!I197),2)),2)+ROUND((ROUND(((Source!AE197-(Source!EU197))*Source!AV197*Source!I197),2)),2))), 2)</f>
        <v>0</v>
      </c>
      <c r="V472">
        <f>ROUND((0/100)*((ROUND((ROUND(((Source!EU197)*Source!AV197*Source!I197),2)*Source!BS197),2)+ROUND((ROUND(((Source!AE197-(Source!EU197))*Source!AV197*Source!I197),2)*Source!BS197),2))), 2)</f>
        <v>0</v>
      </c>
      <c r="X472">
        <f>IF(Source!BI197&lt;=1,I472, 0)</f>
        <v>0</v>
      </c>
      <c r="Y472">
        <f>IF(Source!BI197=2,I472, 0)</f>
        <v>0</v>
      </c>
      <c r="Z472">
        <f>IF(Source!BI197=3,I472, 0)</f>
        <v>0</v>
      </c>
      <c r="AA472">
        <f>IF(Source!BI197=4,I472, 0)</f>
        <v>0</v>
      </c>
      <c r="AI472">
        <v>3</v>
      </c>
    </row>
    <row r="473" spans="1:35" ht="14.25">
      <c r="A473" s="22"/>
      <c r="B473" s="22"/>
      <c r="C473" s="22" t="s">
        <v>487</v>
      </c>
      <c r="D473" s="24" t="s">
        <v>488</v>
      </c>
      <c r="E473" s="23">
        <f>Source!BZ196</f>
        <v>97</v>
      </c>
      <c r="F473" s="26"/>
      <c r="G473" s="25"/>
      <c r="H473" s="23"/>
      <c r="I473" s="26">
        <f>SUM(Q466:Q472)</f>
        <v>14.03</v>
      </c>
      <c r="J473" s="23">
        <f>Source!AT196</f>
        <v>97</v>
      </c>
      <c r="K473" s="26">
        <f>SUM(R466:R472)</f>
        <v>810.15</v>
      </c>
    </row>
    <row r="474" spans="1:35" ht="14.25">
      <c r="A474" s="22"/>
      <c r="B474" s="22"/>
      <c r="C474" s="22" t="s">
        <v>489</v>
      </c>
      <c r="D474" s="24" t="s">
        <v>488</v>
      </c>
      <c r="E474" s="23">
        <f>Source!CA196</f>
        <v>51</v>
      </c>
      <c r="F474" s="26"/>
      <c r="G474" s="25"/>
      <c r="H474" s="23"/>
      <c r="I474" s="26">
        <f>SUM(S466:S473)</f>
        <v>7.37</v>
      </c>
      <c r="J474" s="23">
        <f>Source!AU196</f>
        <v>51</v>
      </c>
      <c r="K474" s="26">
        <f>SUM(T466:T473)</f>
        <v>425.96</v>
      </c>
    </row>
    <row r="475" spans="1:35" ht="14.25">
      <c r="A475" s="28"/>
      <c r="B475" s="28"/>
      <c r="C475" s="28" t="s">
        <v>490</v>
      </c>
      <c r="D475" s="29" t="s">
        <v>491</v>
      </c>
      <c r="E475" s="30">
        <f>Source!AQ196</f>
        <v>15.45</v>
      </c>
      <c r="F475" s="31"/>
      <c r="G475" s="32" t="str">
        <f>Source!DI196</f>
        <v>*1,2</v>
      </c>
      <c r="H475" s="30">
        <f>Source!AV196</f>
        <v>1</v>
      </c>
      <c r="I475" s="31">
        <f>Source!U196</f>
        <v>1.1123999999999998</v>
      </c>
      <c r="J475" s="30"/>
      <c r="K475" s="31"/>
      <c r="AB475" s="27">
        <f>I475</f>
        <v>1.1123999999999998</v>
      </c>
    </row>
    <row r="476" spans="1:35" ht="15">
      <c r="C476" s="33" t="s">
        <v>492</v>
      </c>
      <c r="H476" s="69">
        <f>I468+I469+I471+I473+I474+SUM(I472:I472)-SUMIF(AI472:AI472, 5, I472:I472)-SUMIF(AI472:AI472, 6, I472:I472)</f>
        <v>40.36</v>
      </c>
      <c r="I476" s="69"/>
      <c r="J476" s="69">
        <f>K468+K469+K471+K473+K474+SUM(K472:K472)-SUMIF(AI472:AI472, 5, K472:K472)-SUMIF(AI472:AI472, 6, K472:K472)</f>
        <v>2096.87</v>
      </c>
      <c r="K476" s="69"/>
    </row>
    <row r="477" spans="1:35" ht="15" hidden="1">
      <c r="C477" s="33" t="s">
        <v>493</v>
      </c>
      <c r="H477" s="68">
        <f>SUMIF(AI472:AI472, 5, I472:I472)+SUMIF(AI472:AI472, 6, I472:I472)</f>
        <v>0</v>
      </c>
      <c r="I477" s="68"/>
      <c r="J477" s="68">
        <f>SUMIF(AI472:AI472, 5, K472:K472)+SUMIF(AI472:AI472, 6, K472:K472)</f>
        <v>0</v>
      </c>
      <c r="K477" s="68"/>
    </row>
    <row r="478" spans="1:35" ht="15">
      <c r="H478" s="68"/>
      <c r="I478" s="68"/>
      <c r="J478" s="68"/>
      <c r="K478" s="68"/>
      <c r="O478" s="27">
        <f>I468+I469+I471+I473+I474+SUM(I472:I472)</f>
        <v>40.36</v>
      </c>
      <c r="P478" s="27">
        <f>K468+K469+K471+K473+K474+SUM(K472:K472)</f>
        <v>2096.87</v>
      </c>
      <c r="X478">
        <f>IF(Source!BI196&lt;=1,I468+I469+I471+I473+I474-0, 0)</f>
        <v>0</v>
      </c>
      <c r="Y478">
        <f>IF(Source!BI196=2,I468+I469+I471+I473+I474-0, 0)</f>
        <v>40.36</v>
      </c>
      <c r="Z478">
        <f>IF(Source!BI196=3,I468+I469+I471+I473+I474-0, 0)</f>
        <v>0</v>
      </c>
      <c r="AA478">
        <f>IF(Source!BI196=4,I468+I469+I471+I473+I474,0)</f>
        <v>0</v>
      </c>
    </row>
    <row r="480" spans="1:35" ht="71.25">
      <c r="A480" s="22">
        <v>45</v>
      </c>
      <c r="B480" s="22" t="str">
        <f>Source!F198</f>
        <v>6.69-24-1</v>
      </c>
      <c r="C480" s="22" t="s">
        <v>377</v>
      </c>
      <c r="D480" s="24" t="str">
        <f>Source!H198</f>
        <v>100 отверстий</v>
      </c>
      <c r="E480" s="23">
        <f>Source!I198</f>
        <v>0.01</v>
      </c>
      <c r="F480" s="26"/>
      <c r="G480" s="25"/>
      <c r="H480" s="23"/>
      <c r="I480" s="26"/>
      <c r="J480" s="23"/>
      <c r="K480" s="26"/>
      <c r="Q480">
        <f>ROUND((Source!BZ198/100)*(ROUND((ROUND((Source!AF198*Source!AV198*Source!I198),2)),2)+(ROUND((ROUND(((Source!EU198)*Source!AV198*Source!I198),2)),2)+ROUND((ROUND(((Source!AE198-(Source!EU198))*Source!AV198*Source!I198),2)),2))), 2)</f>
        <v>0.87</v>
      </c>
      <c r="R480">
        <f>Source!X198</f>
        <v>50.48</v>
      </c>
      <c r="S480">
        <f>ROUND((Source!CA198/100)*(ROUND((ROUND((Source!AF198*Source!AV198*Source!I198),2)),2)+(ROUND((ROUND(((Source!EU198)*Source!AV198*Source!I198),2)),2)+ROUND((ROUND(((Source!AE198-(Source!EU198))*Source!AV198*Source!I198),2)),2))), 2)</f>
        <v>0.42</v>
      </c>
      <c r="T480">
        <f>Source!Y198</f>
        <v>24.14</v>
      </c>
      <c r="U480">
        <f>ROUND((175/100)*((ROUND((ROUND(((Source!EU198)*Source!AV198*Source!I198),2)),2)+ROUND((ROUND(((Source!AE198-(Source!EU198))*Source!AV198*Source!I198),2)),2))), 2)</f>
        <v>0</v>
      </c>
      <c r="V480">
        <f>ROUND((0/100)*((ROUND((ROUND(((Source!EU198)*Source!AV198*Source!I198),2)*Source!BS198),2)+ROUND((ROUND(((Source!AE198-(Source!EU198))*Source!AV198*Source!I198),2)*Source!BS198),2))), 2)</f>
        <v>0</v>
      </c>
      <c r="AI480">
        <v>0</v>
      </c>
    </row>
    <row r="481" spans="1:35">
      <c r="C481" s="36" t="str">
        <f>"Объем: "&amp;Source!I198&amp;"=(1)/"&amp;"100"</f>
        <v>Объем: 0,01=(1)/100</v>
      </c>
    </row>
    <row r="482" spans="1:35" ht="14.25">
      <c r="A482" s="22"/>
      <c r="B482" s="22"/>
      <c r="C482" s="22" t="s">
        <v>485</v>
      </c>
      <c r="D482" s="24"/>
      <c r="E482" s="23"/>
      <c r="F482" s="26">
        <f>Source!AO198</f>
        <v>95.03</v>
      </c>
      <c r="G482" s="25" t="str">
        <f>Source!DG198</f>
        <v/>
      </c>
      <c r="H482" s="23">
        <f>Source!AV198</f>
        <v>1</v>
      </c>
      <c r="I482" s="26">
        <f>ROUND((ROUND((Source!AF198*Source!AV198*Source!I198),2)),2)</f>
        <v>0.95</v>
      </c>
      <c r="J482" s="23">
        <f>IF(Source!BA198&lt;&gt; 0, Source!BA198, 1)</f>
        <v>57.76</v>
      </c>
      <c r="K482" s="26">
        <f>Source!S198</f>
        <v>54.87</v>
      </c>
      <c r="W482">
        <f>I482</f>
        <v>0.95</v>
      </c>
    </row>
    <row r="483" spans="1:35" ht="14.25">
      <c r="A483" s="22"/>
      <c r="B483" s="22"/>
      <c r="C483" s="22" t="s">
        <v>486</v>
      </c>
      <c r="D483" s="24"/>
      <c r="E483" s="23"/>
      <c r="F483" s="26">
        <f>Source!AM198</f>
        <v>6.55</v>
      </c>
      <c r="G483" s="25" t="str">
        <f>Source!DE198</f>
        <v/>
      </c>
      <c r="H483" s="23">
        <f>Source!AV198</f>
        <v>1</v>
      </c>
      <c r="I483" s="26">
        <f>(ROUND((ROUND(((Source!ET198)*Source!AV198*Source!I198),2)),2)+ROUND((ROUND(((Source!AE198-(Source!EU198))*Source!AV198*Source!I198),2)),2))</f>
        <v>7.0000000000000007E-2</v>
      </c>
      <c r="J483" s="23">
        <f>IF(Source!BB198&lt;&gt; 0, Source!BB198, 1)</f>
        <v>7.79</v>
      </c>
      <c r="K483" s="26">
        <f>Source!Q198</f>
        <v>0.55000000000000004</v>
      </c>
    </row>
    <row r="484" spans="1:35" ht="28.5">
      <c r="A484" s="22" t="s">
        <v>383</v>
      </c>
      <c r="B484" s="22" t="str">
        <f>Source!F199</f>
        <v>1.7-3-2</v>
      </c>
      <c r="C484" s="22" t="s">
        <v>385</v>
      </c>
      <c r="D484" s="24" t="str">
        <f>Source!H199</f>
        <v>шт.</v>
      </c>
      <c r="E484" s="23">
        <f>Source!I199</f>
        <v>1</v>
      </c>
      <c r="F484" s="26">
        <f>Source!AK199</f>
        <v>378.22</v>
      </c>
      <c r="G484" s="35" t="s">
        <v>3</v>
      </c>
      <c r="H484" s="23">
        <f>Source!AW199</f>
        <v>1</v>
      </c>
      <c r="I484" s="26">
        <f>ROUND((ROUND((Source!AC199*Source!AW199*Source!I199),2)),2)+(ROUND((ROUND(((Source!ET199)*Source!AV199*Source!I199),2)),2)+ROUND((ROUND(((Source!AE199-(Source!EU199))*Source!AV199*Source!I199),2)),2))+ROUND((ROUND((Source!AF199*Source!AV199*Source!I199),2)),2)</f>
        <v>378.22</v>
      </c>
      <c r="J484" s="23">
        <f>IF(Source!BC199&lt;&gt; 0, Source!BC199, 1)</f>
        <v>1.03</v>
      </c>
      <c r="K484" s="26">
        <f>Source!O199</f>
        <v>389.57</v>
      </c>
      <c r="Q484">
        <f>ROUND((Source!BZ199/100)*(ROUND((ROUND((Source!AF199*Source!AV199*Source!I199),2)),2)+(ROUND((ROUND(((Source!EU199)*Source!AV199*Source!I199),2)),2)+ROUND((ROUND(((Source!AE199-(Source!EU199))*Source!AV199*Source!I199),2)),2))), 2)</f>
        <v>0</v>
      </c>
      <c r="R484">
        <f>Source!X199</f>
        <v>0</v>
      </c>
      <c r="S484">
        <f>ROUND((Source!CA199/100)*(ROUND((ROUND((Source!AF199*Source!AV199*Source!I199),2)),2)+(ROUND((ROUND(((Source!EU199)*Source!AV199*Source!I199),2)),2)+ROUND((ROUND(((Source!AE199-(Source!EU199))*Source!AV199*Source!I199),2)),2))), 2)</f>
        <v>0</v>
      </c>
      <c r="T484">
        <f>Source!Y199</f>
        <v>0</v>
      </c>
      <c r="U484">
        <f>ROUND((175/100)*((ROUND((ROUND(((Source!EU199)*Source!AV199*Source!I199),2)),2)+ROUND((ROUND(((Source!AE199-(Source!EU199))*Source!AV199*Source!I199),2)),2))), 2)</f>
        <v>0</v>
      </c>
      <c r="V484">
        <f>ROUND((0/100)*((ROUND((ROUND(((Source!EU199)*Source!AV199*Source!I199),2)*Source!BS199),2)+ROUND((ROUND(((Source!AE199-(Source!EU199))*Source!AV199*Source!I199),2)*Source!BS199),2))), 2)</f>
        <v>0</v>
      </c>
      <c r="X484">
        <f>IF(Source!BI199&lt;=1,I484, 0)</f>
        <v>378.22</v>
      </c>
      <c r="Y484">
        <f>IF(Source!BI199=2,I484, 0)</f>
        <v>0</v>
      </c>
      <c r="Z484">
        <f>IF(Source!BI199=3,I484, 0)</f>
        <v>0</v>
      </c>
      <c r="AA484">
        <f>IF(Source!BI199=4,I484, 0)</f>
        <v>0</v>
      </c>
      <c r="AI484">
        <v>3</v>
      </c>
    </row>
    <row r="485" spans="1:35" ht="14.25">
      <c r="A485" s="22"/>
      <c r="B485" s="22"/>
      <c r="C485" s="22" t="s">
        <v>487</v>
      </c>
      <c r="D485" s="24" t="s">
        <v>488</v>
      </c>
      <c r="E485" s="23">
        <f>Source!BZ198</f>
        <v>92</v>
      </c>
      <c r="F485" s="26"/>
      <c r="G485" s="25"/>
      <c r="H485" s="23"/>
      <c r="I485" s="26">
        <f>SUM(Q480:Q484)</f>
        <v>0.87</v>
      </c>
      <c r="J485" s="23">
        <f>Source!AT198</f>
        <v>92</v>
      </c>
      <c r="K485" s="26">
        <f>SUM(R480:R484)</f>
        <v>50.48</v>
      </c>
    </row>
    <row r="486" spans="1:35" ht="14.25">
      <c r="A486" s="22"/>
      <c r="B486" s="22"/>
      <c r="C486" s="22" t="s">
        <v>489</v>
      </c>
      <c r="D486" s="24" t="s">
        <v>488</v>
      </c>
      <c r="E486" s="23">
        <f>Source!CA198</f>
        <v>44</v>
      </c>
      <c r="F486" s="26"/>
      <c r="G486" s="25"/>
      <c r="H486" s="23"/>
      <c r="I486" s="26">
        <f>SUM(S480:S485)</f>
        <v>0.42</v>
      </c>
      <c r="J486" s="23">
        <f>Source!AU198</f>
        <v>44</v>
      </c>
      <c r="K486" s="26">
        <f>SUM(T480:T485)</f>
        <v>24.14</v>
      </c>
    </row>
    <row r="487" spans="1:35" ht="14.25">
      <c r="A487" s="28"/>
      <c r="B487" s="28"/>
      <c r="C487" s="28" t="s">
        <v>490</v>
      </c>
      <c r="D487" s="29" t="s">
        <v>491</v>
      </c>
      <c r="E487" s="30">
        <f>Source!AQ198</f>
        <v>8.5</v>
      </c>
      <c r="F487" s="31"/>
      <c r="G487" s="32" t="str">
        <f>Source!DI198</f>
        <v/>
      </c>
      <c r="H487" s="30">
        <f>Source!AV198</f>
        <v>1</v>
      </c>
      <c r="I487" s="31">
        <f>Source!U198</f>
        <v>8.5000000000000006E-2</v>
      </c>
      <c r="J487" s="30"/>
      <c r="K487" s="31"/>
      <c r="AB487" s="27">
        <f>I487</f>
        <v>8.5000000000000006E-2</v>
      </c>
    </row>
    <row r="488" spans="1:35" ht="15">
      <c r="C488" s="33" t="s">
        <v>492</v>
      </c>
      <c r="H488" s="69">
        <f>I482+I483+I485+I486+SUM(I484:I484)-SUMIF(AI484:AI484, 5, I484:I484)-SUMIF(AI484:AI484, 6, I484:I484)</f>
        <v>380.53000000000003</v>
      </c>
      <c r="I488" s="69"/>
      <c r="J488" s="69">
        <f>K482+K483+K485+K486+SUM(K484:K484)-SUMIF(AI484:AI484, 5, K484:K484)-SUMIF(AI484:AI484, 6, K484:K484)</f>
        <v>519.61</v>
      </c>
      <c r="K488" s="69"/>
    </row>
    <row r="489" spans="1:35" ht="15" hidden="1">
      <c r="C489" s="33" t="s">
        <v>493</v>
      </c>
      <c r="H489" s="68">
        <f>SUMIF(AI484:AI484, 5, I484:I484)+SUMIF(AI484:AI484, 6, I484:I484)</f>
        <v>0</v>
      </c>
      <c r="I489" s="68"/>
      <c r="J489" s="68">
        <f>SUMIF(AI484:AI484, 5, K484:K484)+SUMIF(AI484:AI484, 6, K484:K484)</f>
        <v>0</v>
      </c>
      <c r="K489" s="68"/>
    </row>
    <row r="490" spans="1:35" ht="15">
      <c r="H490" s="68"/>
      <c r="I490" s="68"/>
      <c r="J490" s="68"/>
      <c r="K490" s="68"/>
      <c r="O490" s="27">
        <f>I482+I483+I485+I486+SUM(I484:I484)</f>
        <v>380.53000000000003</v>
      </c>
      <c r="P490" s="27">
        <f>K482+K483+K485+K486+SUM(K484:K484)</f>
        <v>519.61</v>
      </c>
      <c r="X490">
        <f>IF(Source!BI198&lt;=1,I482+I483+I485+I486-0, 0)</f>
        <v>2.31</v>
      </c>
      <c r="Y490">
        <f>IF(Source!BI198=2,I482+I483+I485+I486-0, 0)</f>
        <v>0</v>
      </c>
      <c r="Z490">
        <f>IF(Source!BI198=3,I482+I483+I485+I486-0, 0)</f>
        <v>0</v>
      </c>
      <c r="AA490">
        <f>IF(Source!BI198=4,I482+I483+I485+I486,0)</f>
        <v>0</v>
      </c>
    </row>
    <row r="492" spans="1:35" ht="42.75">
      <c r="A492" s="22">
        <v>46</v>
      </c>
      <c r="B492" s="22" t="str">
        <f>Source!F200</f>
        <v>6.69-24-2</v>
      </c>
      <c r="C492" s="22" t="s">
        <v>389</v>
      </c>
      <c r="D492" s="24" t="str">
        <f>Source!H200</f>
        <v>100 отверстий</v>
      </c>
      <c r="E492" s="23">
        <f>Source!I200</f>
        <v>0.01</v>
      </c>
      <c r="F492" s="26"/>
      <c r="G492" s="25"/>
      <c r="H492" s="23"/>
      <c r="I492" s="26"/>
      <c r="J492" s="23"/>
      <c r="K492" s="26"/>
      <c r="Q492">
        <f>ROUND((Source!BZ200/100)*(ROUND((ROUND((Source!AF200*Source!AV200*Source!I200),2)),2)+(ROUND((ROUND(((((Source!EU200*3)*1.2))*Source!AV200*Source!I200),2)),2)+ROUND((ROUND(((Source!AE200-(((Source!EU200*3)*1.2)))*Source!AV200*Source!I200),2)),2))), 2)</f>
        <v>0.97</v>
      </c>
      <c r="R492">
        <f>Source!X200</f>
        <v>55.8</v>
      </c>
      <c r="S492">
        <f>ROUND((Source!CA200/100)*(ROUND((ROUND((Source!AF200*Source!AV200*Source!I200),2)),2)+(ROUND((ROUND(((((Source!EU200*3)*1.2))*Source!AV200*Source!I200),2)),2)+ROUND((ROUND(((Source!AE200-(((Source!EU200*3)*1.2)))*Source!AV200*Source!I200),2)),2))), 2)</f>
        <v>0.46</v>
      </c>
      <c r="T492">
        <f>Source!Y200</f>
        <v>26.69</v>
      </c>
      <c r="U492">
        <f>ROUND((175/100)*((ROUND((ROUND(((((Source!EU200*3)*1.2))*Source!AV200*Source!I200),2)),2)+ROUND((ROUND(((Source!AE200-(((Source!EU200*3)*1.2)))*Source!AV200*Source!I200),2)),2))), 2)</f>
        <v>0</v>
      </c>
      <c r="V492">
        <f>ROUND((0/100)*((ROUND((ROUND(((((Source!EU200*3)*1.2))*Source!AV200*Source!I200),2)*Source!BS200),2)+ROUND((ROUND(((Source!AE200-(((Source!EU200*3)*1.2)))*Source!AV200*Source!I200),2)*Source!BS200),2))), 2)</f>
        <v>0</v>
      </c>
      <c r="AI492">
        <v>0</v>
      </c>
    </row>
    <row r="493" spans="1:35">
      <c r="C493" s="36" t="str">
        <f>"Объем: "&amp;Source!I200&amp;"=1/"&amp;"100"</f>
        <v>Объем: 0,01=1/100</v>
      </c>
    </row>
    <row r="494" spans="1:35" ht="14.25">
      <c r="A494" s="22"/>
      <c r="B494" s="22"/>
      <c r="C494" s="22" t="s">
        <v>485</v>
      </c>
      <c r="D494" s="24"/>
      <c r="E494" s="23"/>
      <c r="F494" s="26">
        <f>Source!AO200</f>
        <v>29.07</v>
      </c>
      <c r="G494" s="25" t="str">
        <f>Source!DG200</f>
        <v>)*3)*1,2</v>
      </c>
      <c r="H494" s="23">
        <f>Source!AV200</f>
        <v>1</v>
      </c>
      <c r="I494" s="26">
        <f>ROUND((ROUND((Source!AF200*Source!AV200*Source!I200),2)),2)</f>
        <v>1.05</v>
      </c>
      <c r="J494" s="23">
        <f>IF(Source!BA200&lt;&gt; 0, Source!BA200, 1)</f>
        <v>57.76</v>
      </c>
      <c r="K494" s="26">
        <f>Source!S200</f>
        <v>60.65</v>
      </c>
      <c r="W494">
        <f>I494</f>
        <v>1.05</v>
      </c>
    </row>
    <row r="495" spans="1:35" ht="14.25">
      <c r="A495" s="22"/>
      <c r="B495" s="22"/>
      <c r="C495" s="22" t="s">
        <v>486</v>
      </c>
      <c r="D495" s="24"/>
      <c r="E495" s="23"/>
      <c r="F495" s="26">
        <f>Source!AM200</f>
        <v>2</v>
      </c>
      <c r="G495" s="25" t="str">
        <f>Source!DE200</f>
        <v>)*3)*1,2</v>
      </c>
      <c r="H495" s="23">
        <f>Source!AV200</f>
        <v>1</v>
      </c>
      <c r="I495" s="26">
        <f>(ROUND((ROUND(((((Source!ET200*3)*1.2))*Source!AV200*Source!I200),2)),2)+ROUND((ROUND(((Source!AE200-(((Source!EU200*3)*1.2)))*Source!AV200*Source!I200),2)),2))</f>
        <v>7.0000000000000007E-2</v>
      </c>
      <c r="J495" s="23">
        <f>IF(Source!BB200&lt;&gt; 0, Source!BB200, 1)</f>
        <v>7.8</v>
      </c>
      <c r="K495" s="26">
        <f>Source!Q200</f>
        <v>0.55000000000000004</v>
      </c>
    </row>
    <row r="496" spans="1:35" ht="14.25">
      <c r="A496" s="22"/>
      <c r="B496" s="22"/>
      <c r="C496" s="22" t="s">
        <v>487</v>
      </c>
      <c r="D496" s="24" t="s">
        <v>488</v>
      </c>
      <c r="E496" s="23">
        <f>Source!BZ200</f>
        <v>92</v>
      </c>
      <c r="F496" s="26"/>
      <c r="G496" s="25"/>
      <c r="H496" s="23"/>
      <c r="I496" s="26">
        <f>SUM(Q492:Q495)</f>
        <v>0.97</v>
      </c>
      <c r="J496" s="23">
        <f>Source!AT200</f>
        <v>92</v>
      </c>
      <c r="K496" s="26">
        <f>SUM(R492:R495)</f>
        <v>55.8</v>
      </c>
    </row>
    <row r="497" spans="1:35" ht="14.25">
      <c r="A497" s="22"/>
      <c r="B497" s="22"/>
      <c r="C497" s="22" t="s">
        <v>489</v>
      </c>
      <c r="D497" s="24" t="s">
        <v>488</v>
      </c>
      <c r="E497" s="23">
        <f>Source!CA200</f>
        <v>44</v>
      </c>
      <c r="F497" s="26"/>
      <c r="G497" s="25"/>
      <c r="H497" s="23"/>
      <c r="I497" s="26">
        <f>SUM(S492:S496)</f>
        <v>0.46</v>
      </c>
      <c r="J497" s="23">
        <f>Source!AU200</f>
        <v>44</v>
      </c>
      <c r="K497" s="26">
        <f>SUM(T492:T496)</f>
        <v>26.69</v>
      </c>
    </row>
    <row r="498" spans="1:35" ht="14.25">
      <c r="A498" s="28"/>
      <c r="B498" s="28"/>
      <c r="C498" s="28" t="s">
        <v>490</v>
      </c>
      <c r="D498" s="29" t="s">
        <v>491</v>
      </c>
      <c r="E498" s="30">
        <f>Source!AQ200</f>
        <v>2.6</v>
      </c>
      <c r="F498" s="31"/>
      <c r="G498" s="32" t="str">
        <f>Source!DI200</f>
        <v>)*3)*1,2</v>
      </c>
      <c r="H498" s="30">
        <f>Source!AV200</f>
        <v>1</v>
      </c>
      <c r="I498" s="31">
        <f>Source!U200</f>
        <v>9.3600000000000017E-2</v>
      </c>
      <c r="J498" s="30"/>
      <c r="K498" s="31"/>
      <c r="AB498" s="27">
        <f>I498</f>
        <v>9.3600000000000017E-2</v>
      </c>
    </row>
    <row r="499" spans="1:35" ht="15">
      <c r="C499" s="33" t="s">
        <v>492</v>
      </c>
      <c r="H499" s="69">
        <f>I494+I495+I496+I497+0-0-0</f>
        <v>2.5499999999999998</v>
      </c>
      <c r="I499" s="69"/>
      <c r="J499" s="69">
        <f>K494+K495+K496+K497+0-0-0</f>
        <v>143.69</v>
      </c>
      <c r="K499" s="69"/>
    </row>
    <row r="500" spans="1:35" ht="15" hidden="1">
      <c r="C500" s="33" t="s">
        <v>493</v>
      </c>
      <c r="H500" s="68">
        <f>0+0</f>
        <v>0</v>
      </c>
      <c r="I500" s="68"/>
      <c r="J500" s="68">
        <f>0+0</f>
        <v>0</v>
      </c>
      <c r="K500" s="68"/>
    </row>
    <row r="501" spans="1:35" ht="15">
      <c r="H501" s="68"/>
      <c r="I501" s="68"/>
      <c r="J501" s="68"/>
      <c r="K501" s="68"/>
      <c r="O501" s="27">
        <f>I494+I495+I496+I497+0</f>
        <v>2.5499999999999998</v>
      </c>
      <c r="P501" s="27">
        <f>K494+K495+K496+K497+0</f>
        <v>143.69</v>
      </c>
      <c r="X501">
        <f>IF(Source!BI200&lt;=1,I494+I495+I496+I497-0, 0)</f>
        <v>2.5499999999999998</v>
      </c>
      <c r="Y501">
        <f>IF(Source!BI200=2,I494+I495+I496+I497-0, 0)</f>
        <v>0</v>
      </c>
      <c r="Z501">
        <f>IF(Source!BI200=3,I494+I495+I496+I497-0, 0)</f>
        <v>0</v>
      </c>
      <c r="AA501">
        <f>IF(Source!BI200=4,I494+I495+I496+I497,0)</f>
        <v>0</v>
      </c>
    </row>
    <row r="503" spans="1:35" ht="28.5">
      <c r="A503" s="22">
        <v>47</v>
      </c>
      <c r="B503" s="22" t="str">
        <f>Source!F201</f>
        <v>3.6-6-7</v>
      </c>
      <c r="C503" s="22" t="s">
        <v>395</v>
      </c>
      <c r="D503" s="24" t="str">
        <f>Source!H201</f>
        <v>1 Т</v>
      </c>
      <c r="E503" s="23">
        <f>Source!I201</f>
        <v>1.7249999999999999E-4</v>
      </c>
      <c r="F503" s="26"/>
      <c r="G503" s="25"/>
      <c r="H503" s="23"/>
      <c r="I503" s="26"/>
      <c r="J503" s="23"/>
      <c r="K503" s="26"/>
      <c r="Q503">
        <f>ROUND((Source!BZ201/100)*(ROUND((ROUND((Source!AF201*Source!AV201*Source!I201),2)),2)+(ROUND((ROUND((((Source!EU201*1.2))*Source!AV201*Source!I201),2)),2)+ROUND((ROUND(((Source!AE201-((Source!EU201*1.2)))*Source!AV201*Source!I201),2)),2))), 2)</f>
        <v>0.45</v>
      </c>
      <c r="R503">
        <f>Source!X201</f>
        <v>26.04</v>
      </c>
      <c r="S503">
        <f>ROUND((Source!CA201/100)*(ROUND((ROUND((Source!AF201*Source!AV201*Source!I201),2)),2)+(ROUND((ROUND((((Source!EU201*1.2))*Source!AV201*Source!I201),2)),2)+ROUND((ROUND(((Source!AE201-((Source!EU201*1.2)))*Source!AV201*Source!I201),2)),2))), 2)</f>
        <v>0.24</v>
      </c>
      <c r="T503">
        <f>Source!Y201</f>
        <v>13.87</v>
      </c>
      <c r="U503">
        <f>ROUND((175/100)*((ROUND((ROUND((((Source!EU201*1.2))*Source!AV201*Source!I201),2)),2)+ROUND((ROUND(((Source!AE201-((Source!EU201*1.2)))*Source!AV201*Source!I201),2)),2))), 2)</f>
        <v>0</v>
      </c>
      <c r="V503">
        <f>ROUND((0/100)*((ROUND((ROUND((((Source!EU201*1.2))*Source!AV201*Source!I201),2)*Source!BS201),2)+ROUND((ROUND(((Source!AE201-((Source!EU201*1.2)))*Source!AV201*Source!I201),2)*Source!BS201),2))), 2)</f>
        <v>0</v>
      </c>
      <c r="AI503">
        <v>0</v>
      </c>
    </row>
    <row r="504" spans="1:35">
      <c r="C504" s="36" t="str">
        <f>"Объем: "&amp;Source!I201&amp;"=0,69*"&amp;"0,25/"&amp;"1000"</f>
        <v>Объем: 0,0001725=0,69*0,25/1000</v>
      </c>
    </row>
    <row r="505" spans="1:35" ht="14.25">
      <c r="A505" s="22"/>
      <c r="B505" s="22"/>
      <c r="C505" s="22" t="s">
        <v>485</v>
      </c>
      <c r="D505" s="24"/>
      <c r="E505" s="23"/>
      <c r="F505" s="26">
        <f>Source!AO201</f>
        <v>2356.1999999999998</v>
      </c>
      <c r="G505" s="25" t="str">
        <f>Source!DG201</f>
        <v>*1,2</v>
      </c>
      <c r="H505" s="23">
        <f>Source!AV201</f>
        <v>1</v>
      </c>
      <c r="I505" s="26">
        <f>ROUND((ROUND((Source!AF201*Source!AV201*Source!I201),2)),2)</f>
        <v>0.49</v>
      </c>
      <c r="J505" s="23">
        <f>IF(Source!BA201&lt;&gt; 0, Source!BA201, 1)</f>
        <v>57.76</v>
      </c>
      <c r="K505" s="26">
        <f>Source!S201</f>
        <v>28.3</v>
      </c>
      <c r="W505">
        <f>I505</f>
        <v>0.49</v>
      </c>
    </row>
    <row r="506" spans="1:35" ht="14.25">
      <c r="A506" s="22"/>
      <c r="B506" s="22"/>
      <c r="C506" s="22" t="s">
        <v>486</v>
      </c>
      <c r="D506" s="24"/>
      <c r="E506" s="23"/>
      <c r="F506" s="26">
        <f>Source!AM201</f>
        <v>40.869999999999997</v>
      </c>
      <c r="G506" s="25" t="str">
        <f>Source!DE201</f>
        <v>*1,2</v>
      </c>
      <c r="H506" s="23">
        <f>Source!AV201</f>
        <v>1</v>
      </c>
      <c r="I506" s="26">
        <f>(ROUND((ROUND((((Source!ET201*1.2))*Source!AV201*Source!I201),2)),2)+ROUND((ROUND(((Source!AE201-((Source!EU201*1.2)))*Source!AV201*Source!I201),2)),2))</f>
        <v>0.01</v>
      </c>
      <c r="J506" s="23">
        <f>IF(Source!BB201&lt;&gt; 0, Source!BB201, 1)</f>
        <v>16.53</v>
      </c>
      <c r="K506" s="26">
        <f>Source!Q201</f>
        <v>0.17</v>
      </c>
    </row>
    <row r="507" spans="1:35" ht="28.5">
      <c r="A507" s="22" t="s">
        <v>399</v>
      </c>
      <c r="B507" s="22" t="str">
        <f>Source!F202</f>
        <v>5264660000</v>
      </c>
      <c r="C507" s="22" t="s">
        <v>401</v>
      </c>
      <c r="D507" s="24" t="str">
        <f>Source!H202</f>
        <v>т</v>
      </c>
      <c r="E507" s="23">
        <f>Source!I202</f>
        <v>1.73E-4</v>
      </c>
      <c r="F507" s="26">
        <f>Source!AK202</f>
        <v>0</v>
      </c>
      <c r="G507" s="35" t="s">
        <v>3</v>
      </c>
      <c r="H507" s="23">
        <f>Source!AW202</f>
        <v>1</v>
      </c>
      <c r="I507" s="26">
        <f>ROUND((ROUND((Source!AC202*Source!AW202*Source!I202),2)),2)+(ROUND((ROUND(((Source!ET202)*Source!AV202*Source!I202),2)),2)+ROUND((ROUND(((Source!AE202-(Source!EU202))*Source!AV202*Source!I202),2)),2))+ROUND((ROUND((Source!AF202*Source!AV202*Source!I202),2)),2)</f>
        <v>0</v>
      </c>
      <c r="J507" s="23">
        <f>IF(Source!BC202&lt;&gt; 0, Source!BC202, 1)</f>
        <v>1</v>
      </c>
      <c r="K507" s="26">
        <f>Source!O202</f>
        <v>0</v>
      </c>
      <c r="Q507">
        <f>ROUND((Source!BZ202/100)*(ROUND((ROUND((Source!AF202*Source!AV202*Source!I202),2)),2)+(ROUND((ROUND(((Source!EU202)*Source!AV202*Source!I202),2)),2)+ROUND((ROUND(((Source!AE202-(Source!EU202))*Source!AV202*Source!I202),2)),2))), 2)</f>
        <v>0</v>
      </c>
      <c r="R507">
        <f>Source!X202</f>
        <v>0</v>
      </c>
      <c r="S507">
        <f>ROUND((Source!CA202/100)*(ROUND((ROUND((Source!AF202*Source!AV202*Source!I202),2)),2)+(ROUND((ROUND(((Source!EU202)*Source!AV202*Source!I202),2)),2)+ROUND((ROUND(((Source!AE202-(Source!EU202))*Source!AV202*Source!I202),2)),2))), 2)</f>
        <v>0</v>
      </c>
      <c r="T507">
        <f>Source!Y202</f>
        <v>0</v>
      </c>
      <c r="U507">
        <f>ROUND((175/100)*((ROUND((ROUND(((Source!EU202)*Source!AV202*Source!I202),2)),2)+ROUND((ROUND(((Source!AE202-(Source!EU202))*Source!AV202*Source!I202),2)),2))), 2)</f>
        <v>0</v>
      </c>
      <c r="V507">
        <f>ROUND((0/100)*((ROUND((ROUND(((Source!EU202)*Source!AV202*Source!I202),2)*Source!BS202),2)+ROUND((ROUND(((Source!AE202-(Source!EU202))*Source!AV202*Source!I202),2)*Source!BS202),2))), 2)</f>
        <v>0</v>
      </c>
      <c r="X507">
        <f>IF(Source!BI202&lt;=1,I507, 0)</f>
        <v>0</v>
      </c>
      <c r="Y507">
        <f>IF(Source!BI202=2,I507, 0)</f>
        <v>0</v>
      </c>
      <c r="Z507">
        <f>IF(Source!BI202=3,I507, 0)</f>
        <v>0</v>
      </c>
      <c r="AA507">
        <f>IF(Source!BI202=4,I507, 0)</f>
        <v>0</v>
      </c>
      <c r="AI507">
        <v>3</v>
      </c>
    </row>
    <row r="508" spans="1:35" ht="14.25">
      <c r="A508" s="22"/>
      <c r="B508" s="22"/>
      <c r="C508" s="22" t="s">
        <v>487</v>
      </c>
      <c r="D508" s="24" t="s">
        <v>488</v>
      </c>
      <c r="E508" s="23">
        <f>Source!BZ201</f>
        <v>92</v>
      </c>
      <c r="F508" s="26"/>
      <c r="G508" s="25"/>
      <c r="H508" s="23"/>
      <c r="I508" s="26">
        <f>SUM(Q503:Q507)</f>
        <v>0.45</v>
      </c>
      <c r="J508" s="23">
        <f>Source!AT201</f>
        <v>92</v>
      </c>
      <c r="K508" s="26">
        <f>SUM(R503:R507)</f>
        <v>26.04</v>
      </c>
    </row>
    <row r="509" spans="1:35" ht="14.25">
      <c r="A509" s="22"/>
      <c r="B509" s="22"/>
      <c r="C509" s="22" t="s">
        <v>489</v>
      </c>
      <c r="D509" s="24" t="s">
        <v>488</v>
      </c>
      <c r="E509" s="23">
        <f>Source!CA201</f>
        <v>49</v>
      </c>
      <c r="F509" s="26"/>
      <c r="G509" s="25"/>
      <c r="H509" s="23"/>
      <c r="I509" s="26">
        <f>SUM(S503:S508)</f>
        <v>0.24</v>
      </c>
      <c r="J509" s="23">
        <f>Source!AU201</f>
        <v>49</v>
      </c>
      <c r="K509" s="26">
        <f>SUM(T503:T508)</f>
        <v>13.87</v>
      </c>
    </row>
    <row r="510" spans="1:35" ht="14.25">
      <c r="A510" s="28"/>
      <c r="B510" s="28"/>
      <c r="C510" s="28" t="s">
        <v>490</v>
      </c>
      <c r="D510" s="29" t="s">
        <v>491</v>
      </c>
      <c r="E510" s="30">
        <f>Source!AQ201</f>
        <v>198</v>
      </c>
      <c r="F510" s="31"/>
      <c r="G510" s="32" t="str">
        <f>Source!DI201</f>
        <v>*1,2</v>
      </c>
      <c r="H510" s="30">
        <f>Source!AV201</f>
        <v>1</v>
      </c>
      <c r="I510" s="31">
        <f>Source!U201</f>
        <v>4.0985999999999995E-2</v>
      </c>
      <c r="J510" s="30"/>
      <c r="K510" s="31"/>
      <c r="AB510" s="27">
        <f>I510</f>
        <v>4.0985999999999995E-2</v>
      </c>
    </row>
    <row r="511" spans="1:35" ht="15">
      <c r="C511" s="33" t="s">
        <v>492</v>
      </c>
      <c r="H511" s="69">
        <f>I505+I506+I508+I509+SUM(I507:I507)-SUMIF(AI507:AI507, 5, I507:I507)-SUMIF(AI507:AI507, 6, I507:I507)</f>
        <v>1.19</v>
      </c>
      <c r="I511" s="69"/>
      <c r="J511" s="69">
        <f>K505+K506+K508+K509+SUM(K507:K507)-SUMIF(AI507:AI507, 5, K507:K507)-SUMIF(AI507:AI507, 6, K507:K507)</f>
        <v>68.38000000000001</v>
      </c>
      <c r="K511" s="69"/>
    </row>
    <row r="512" spans="1:35" ht="15" hidden="1">
      <c r="C512" s="33" t="s">
        <v>493</v>
      </c>
      <c r="H512" s="68">
        <f>SUMIF(AI507:AI507, 5, I507:I507)+SUMIF(AI507:AI507, 6, I507:I507)</f>
        <v>0</v>
      </c>
      <c r="I512" s="68"/>
      <c r="J512" s="68">
        <f>SUMIF(AI507:AI507, 5, K507:K507)+SUMIF(AI507:AI507, 6, K507:K507)</f>
        <v>0</v>
      </c>
      <c r="K512" s="68"/>
    </row>
    <row r="513" spans="1:35" ht="15">
      <c r="H513" s="68"/>
      <c r="I513" s="68"/>
      <c r="J513" s="68"/>
      <c r="K513" s="68"/>
      <c r="O513" s="27">
        <f>I505+I506+I508+I509+SUM(I507:I507)</f>
        <v>1.19</v>
      </c>
      <c r="P513" s="27">
        <f>K505+K506+K508+K509+SUM(K507:K507)</f>
        <v>68.38000000000001</v>
      </c>
      <c r="X513">
        <f>IF(Source!BI201&lt;=1,I505+I506+I508+I509-0, 0)</f>
        <v>1.19</v>
      </c>
      <c r="Y513">
        <f>IF(Source!BI201=2,I505+I506+I508+I509-0, 0)</f>
        <v>0</v>
      </c>
      <c r="Z513">
        <f>IF(Source!BI201=3,I505+I506+I508+I509-0, 0)</f>
        <v>0</v>
      </c>
      <c r="AA513">
        <f>IF(Source!BI201=4,I505+I506+I508+I509,0)</f>
        <v>0</v>
      </c>
    </row>
    <row r="515" spans="1:35" ht="57">
      <c r="A515" s="28">
        <v>48</v>
      </c>
      <c r="B515" s="28" t="str">
        <f>Source!F203</f>
        <v>1.12-6-2</v>
      </c>
      <c r="C515" s="28" t="s">
        <v>404</v>
      </c>
      <c r="D515" s="29" t="str">
        <f>Source!H203</f>
        <v>м</v>
      </c>
      <c r="E515" s="30">
        <f>Source!I203</f>
        <v>0.25</v>
      </c>
      <c r="F515" s="31">
        <f>Source!AL203</f>
        <v>6.8</v>
      </c>
      <c r="G515" s="32" t="str">
        <f>Source!DD203</f>
        <v/>
      </c>
      <c r="H515" s="30">
        <f>Source!AW203</f>
        <v>1</v>
      </c>
      <c r="I515" s="31">
        <f>ROUND((ROUND((Source!AC203*Source!AW203*Source!I203),2)),2)</f>
        <v>1.7</v>
      </c>
      <c r="J515" s="30">
        <f>IF(Source!BC203&lt;&gt; 0, Source!BC203, 1)</f>
        <v>4.18</v>
      </c>
      <c r="K515" s="31">
        <f>Source!P203</f>
        <v>7.11</v>
      </c>
      <c r="Q515">
        <f>ROUND((Source!BZ203/100)*(ROUND((ROUND((Source!AF203*Source!AV203*Source!I203),2)),2)+(ROUND((ROUND(((Source!EU203)*Source!AV203*Source!I203),2)),2)+ROUND((ROUND(((Source!AE203-(Source!EU203))*Source!AV203*Source!I203),2)),2))), 2)</f>
        <v>0</v>
      </c>
      <c r="R515">
        <f>Source!X203</f>
        <v>0</v>
      </c>
      <c r="S515">
        <f>ROUND((Source!CA203/100)*(ROUND((ROUND((Source!AF203*Source!AV203*Source!I203),2)),2)+(ROUND((ROUND(((Source!EU203)*Source!AV203*Source!I203),2)),2)+ROUND((ROUND(((Source!AE203-(Source!EU203))*Source!AV203*Source!I203),2)),2))), 2)</f>
        <v>0</v>
      </c>
      <c r="T515">
        <f>Source!Y203</f>
        <v>0</v>
      </c>
      <c r="U515">
        <f>ROUND((175/100)*((ROUND((ROUND(((Source!EU203)*Source!AV203*Source!I203),2)),2)+ROUND((ROUND(((Source!AE203-(Source!EU203))*Source!AV203*Source!I203),2)),2))), 2)</f>
        <v>0</v>
      </c>
      <c r="V515">
        <f>ROUND((0/100)*((ROUND((ROUND(((Source!EU203)*Source!AV203*Source!I203),2)*Source!BS203),2)+ROUND((ROUND(((Source!AE203-(Source!EU203))*Source!AV203*Source!I203),2)*Source!BS203),2))), 2)</f>
        <v>0</v>
      </c>
      <c r="AI515">
        <v>3</v>
      </c>
    </row>
    <row r="516" spans="1:35" ht="15">
      <c r="C516" s="33" t="s">
        <v>497</v>
      </c>
      <c r="H516" s="69">
        <f>I515+0</f>
        <v>1.7</v>
      </c>
      <c r="I516" s="69"/>
      <c r="J516" s="69">
        <f>K515+0</f>
        <v>7.11</v>
      </c>
      <c r="K516" s="69"/>
      <c r="O516" s="27">
        <f>I515+0</f>
        <v>1.7</v>
      </c>
      <c r="P516" s="27">
        <f>K515+0</f>
        <v>7.11</v>
      </c>
      <c r="X516">
        <f>IF(Source!BI203&lt;=1,I515-0, 0)</f>
        <v>1.7</v>
      </c>
      <c r="Y516">
        <f>IF(Source!BI203=2,I515-0, 0)</f>
        <v>0</v>
      </c>
      <c r="Z516">
        <f>IF(Source!BI203=3,I515-0, 0)</f>
        <v>0</v>
      </c>
      <c r="AA516">
        <f>IF(Source!BI203=4,I515,0)</f>
        <v>0</v>
      </c>
    </row>
    <row r="518" spans="1:35" ht="42.75">
      <c r="A518" s="22">
        <v>49</v>
      </c>
      <c r="B518" s="22" t="str">
        <f>Source!F204</f>
        <v>4.8-86-1</v>
      </c>
      <c r="C518" s="22" t="s">
        <v>408</v>
      </c>
      <c r="D518" s="24" t="str">
        <f>Source!H204</f>
        <v>1 проход кабеля</v>
      </c>
      <c r="E518" s="23">
        <f>Source!I204</f>
        <v>1</v>
      </c>
      <c r="F518" s="26"/>
      <c r="G518" s="25"/>
      <c r="H518" s="23"/>
      <c r="I518" s="26"/>
      <c r="J518" s="23"/>
      <c r="K518" s="26"/>
      <c r="Q518">
        <f>ROUND((Source!BZ204/100)*(ROUND((ROUND((Source!AF204*Source!AV204*Source!I204),2)),2)+(ROUND((ROUND((((Source!EU204*1.2))*Source!AV204*Source!I204),2)),2)+ROUND((ROUND(((Source!AE204-((Source!EU204*1.2)))*Source!AV204*Source!I204),2)),2))), 2)</f>
        <v>6.74</v>
      </c>
      <c r="R518">
        <f>Source!X204</f>
        <v>389.39</v>
      </c>
      <c r="S518">
        <f>ROUND((Source!CA204/100)*(ROUND((ROUND((Source!AF204*Source!AV204*Source!I204),2)),2)+(ROUND((ROUND((((Source!EU204*1.2))*Source!AV204*Source!I204),2)),2)+ROUND((ROUND(((Source!AE204-((Source!EU204*1.2)))*Source!AV204*Source!I204),2)),2))), 2)</f>
        <v>3.54</v>
      </c>
      <c r="T518">
        <f>Source!Y204</f>
        <v>204.73</v>
      </c>
      <c r="U518">
        <f>ROUND((175/100)*((ROUND((ROUND((((Source!EU204*1.2))*Source!AV204*Source!I204),2)),2)+ROUND((ROUND(((Source!AE204-((Source!EU204*1.2)))*Source!AV204*Source!I204),2)),2))), 2)</f>
        <v>0</v>
      </c>
      <c r="V518">
        <f>ROUND((0/100)*((ROUND((ROUND((((Source!EU204*1.2))*Source!AV204*Source!I204),2)*Source!BS204),2)+ROUND((ROUND(((Source!AE204-((Source!EU204*1.2)))*Source!AV204*Source!I204),2)*Source!BS204),2))), 2)</f>
        <v>0</v>
      </c>
      <c r="AI518">
        <v>0</v>
      </c>
    </row>
    <row r="519" spans="1:35" ht="14.25">
      <c r="A519" s="22"/>
      <c r="B519" s="22"/>
      <c r="C519" s="22" t="s">
        <v>485</v>
      </c>
      <c r="D519" s="24"/>
      <c r="E519" s="23"/>
      <c r="F519" s="26">
        <f>Source!AO204</f>
        <v>5.79</v>
      </c>
      <c r="G519" s="25" t="str">
        <f>Source!DG204</f>
        <v>*1,2</v>
      </c>
      <c r="H519" s="23">
        <f>Source!AV204</f>
        <v>1</v>
      </c>
      <c r="I519" s="26">
        <f>ROUND((ROUND((Source!AF204*Source!AV204*Source!I204),2)),2)</f>
        <v>6.95</v>
      </c>
      <c r="J519" s="23">
        <f>IF(Source!BA204&lt;&gt; 0, Source!BA204, 1)</f>
        <v>57.76</v>
      </c>
      <c r="K519" s="26">
        <f>Source!S204</f>
        <v>401.43</v>
      </c>
      <c r="W519">
        <f>I519</f>
        <v>6.95</v>
      </c>
    </row>
    <row r="520" spans="1:35" ht="14.25">
      <c r="A520" s="22"/>
      <c r="B520" s="22"/>
      <c r="C520" s="22" t="s">
        <v>495</v>
      </c>
      <c r="D520" s="24"/>
      <c r="E520" s="23"/>
      <c r="F520" s="26">
        <f>Source!AL204</f>
        <v>59.19</v>
      </c>
      <c r="G520" s="25" t="str">
        <f>Source!DD204</f>
        <v>*1</v>
      </c>
      <c r="H520" s="23">
        <f>Source!AW204</f>
        <v>1</v>
      </c>
      <c r="I520" s="26">
        <f>ROUND((ROUND((Source!AC204*Source!AW204*Source!I204),2)),2)</f>
        <v>59.19</v>
      </c>
      <c r="J520" s="23">
        <f>IF(Source!BC204&lt;&gt; 0, Source!BC204, 1)</f>
        <v>8.2799999999999994</v>
      </c>
      <c r="K520" s="26">
        <f>Source!P204</f>
        <v>490.09</v>
      </c>
    </row>
    <row r="521" spans="1:35" ht="14.25">
      <c r="A521" s="22"/>
      <c r="B521" s="22"/>
      <c r="C521" s="22" t="s">
        <v>487</v>
      </c>
      <c r="D521" s="24" t="s">
        <v>488</v>
      </c>
      <c r="E521" s="23">
        <f>Source!BZ204</f>
        <v>97</v>
      </c>
      <c r="F521" s="26"/>
      <c r="G521" s="25"/>
      <c r="H521" s="23"/>
      <c r="I521" s="26">
        <f>SUM(Q518:Q520)</f>
        <v>6.74</v>
      </c>
      <c r="J521" s="23">
        <f>Source!AT204</f>
        <v>97</v>
      </c>
      <c r="K521" s="26">
        <f>SUM(R518:R520)</f>
        <v>389.39</v>
      </c>
    </row>
    <row r="522" spans="1:35" ht="14.25">
      <c r="A522" s="22"/>
      <c r="B522" s="22"/>
      <c r="C522" s="22" t="s">
        <v>489</v>
      </c>
      <c r="D522" s="24" t="s">
        <v>488</v>
      </c>
      <c r="E522" s="23">
        <f>Source!CA204</f>
        <v>51</v>
      </c>
      <c r="F522" s="26"/>
      <c r="G522" s="25"/>
      <c r="H522" s="23"/>
      <c r="I522" s="26">
        <f>SUM(S518:S521)</f>
        <v>3.54</v>
      </c>
      <c r="J522" s="23">
        <f>Source!AU204</f>
        <v>51</v>
      </c>
      <c r="K522" s="26">
        <f>SUM(T518:T521)</f>
        <v>204.73</v>
      </c>
    </row>
    <row r="523" spans="1:35" ht="14.25">
      <c r="A523" s="28"/>
      <c r="B523" s="28"/>
      <c r="C523" s="28" t="s">
        <v>490</v>
      </c>
      <c r="D523" s="29" t="s">
        <v>491</v>
      </c>
      <c r="E523" s="30">
        <f>Source!AQ204</f>
        <v>0.47</v>
      </c>
      <c r="F523" s="31"/>
      <c r="G523" s="32" t="str">
        <f>Source!DI204</f>
        <v>*1,2</v>
      </c>
      <c r="H523" s="30">
        <f>Source!AV204</f>
        <v>1</v>
      </c>
      <c r="I523" s="31">
        <f>Source!U204</f>
        <v>0.56399999999999995</v>
      </c>
      <c r="J523" s="30"/>
      <c r="K523" s="31"/>
      <c r="AB523" s="27">
        <f>I523</f>
        <v>0.56399999999999995</v>
      </c>
    </row>
    <row r="524" spans="1:35" ht="15">
      <c r="C524" s="33" t="s">
        <v>492</v>
      </c>
      <c r="H524" s="69">
        <f>I519+I520+I521+I522+0-0-0</f>
        <v>76.42</v>
      </c>
      <c r="I524" s="69"/>
      <c r="J524" s="69">
        <f>K519+K520+K521+K522+0-0-0</f>
        <v>1485.6399999999999</v>
      </c>
      <c r="K524" s="69"/>
    </row>
    <row r="525" spans="1:35" ht="15" hidden="1">
      <c r="C525" s="33" t="s">
        <v>493</v>
      </c>
      <c r="H525" s="68">
        <f>0+0</f>
        <v>0</v>
      </c>
      <c r="I525" s="68"/>
      <c r="J525" s="68">
        <f>0+0</f>
        <v>0</v>
      </c>
      <c r="K525" s="68"/>
    </row>
    <row r="526" spans="1:35" ht="15">
      <c r="H526" s="68"/>
      <c r="I526" s="68"/>
      <c r="J526" s="68"/>
      <c r="K526" s="68"/>
      <c r="O526" s="27">
        <f>I519+I520+I521+I522+0</f>
        <v>76.42</v>
      </c>
      <c r="P526" s="27">
        <f>K519+K520+K521+K522+0</f>
        <v>1485.6399999999999</v>
      </c>
      <c r="X526">
        <f>IF(Source!BI204&lt;=1,I519+I520+I521+I522-0, 0)</f>
        <v>0</v>
      </c>
      <c r="Y526">
        <f>IF(Source!BI204=2,I519+I520+I521+I522-0, 0)</f>
        <v>76.42</v>
      </c>
      <c r="Z526">
        <f>IF(Source!BI204=3,I519+I520+I521+I522-0, 0)</f>
        <v>0</v>
      </c>
      <c r="AA526">
        <f>IF(Source!BI204=4,I519+I520+I521+I522,0)</f>
        <v>0</v>
      </c>
    </row>
    <row r="528" spans="1:35" ht="57">
      <c r="A528" s="22">
        <v>50</v>
      </c>
      <c r="B528" s="22" t="str">
        <f>Source!F205</f>
        <v>5.1-20-4</v>
      </c>
      <c r="C528" s="22" t="s">
        <v>111</v>
      </c>
      <c r="D528" s="24" t="str">
        <f>Source!H205</f>
        <v>1  ШТ.</v>
      </c>
      <c r="E528" s="23">
        <f>Source!I205</f>
        <v>1</v>
      </c>
      <c r="F528" s="26"/>
      <c r="G528" s="25"/>
      <c r="H528" s="23"/>
      <c r="I528" s="26"/>
      <c r="J528" s="23"/>
      <c r="K528" s="26"/>
      <c r="Q528">
        <f>ROUND((Source!BZ205/100)*(ROUND((ROUND((Source!AF205*Source!AV205*Source!I205),2)),2)+(ROUND((ROUND(((Source!EU205)*Source!AV205*Source!I205),2)),2)+ROUND((ROUND(((Source!AE205-(Source!EU205))*Source!AV205*Source!I205),2)),2))), 2)</f>
        <v>13.11</v>
      </c>
      <c r="R528">
        <f>Source!X205</f>
        <v>756.97</v>
      </c>
      <c r="S528">
        <f>ROUND((Source!CA205/100)*(ROUND((ROUND((Source!AF205*Source!AV205*Source!I205),2)),2)+(ROUND((ROUND(((Source!EU205)*Source!AV205*Source!I205),2)),2)+ROUND((ROUND(((Source!AE205-(Source!EU205))*Source!AV205*Source!I205),2)),2))), 2)</f>
        <v>6.38</v>
      </c>
      <c r="T528">
        <f>Source!Y205</f>
        <v>368.25</v>
      </c>
      <c r="U528">
        <f>ROUND((175/100)*((ROUND((ROUND(((Source!EU205)*Source!AV205*Source!I205),2)),2)+ROUND((ROUND(((Source!AE205-(Source!EU205))*Source!AV205*Source!I205),2)),2))), 2)</f>
        <v>0</v>
      </c>
      <c r="V528">
        <f>ROUND((0/100)*((ROUND((ROUND(((Source!EU205)*Source!AV205*Source!I205),2)*Source!BS205),2)+ROUND((ROUND(((Source!AE205-(Source!EU205))*Source!AV205*Source!I205),2)*Source!BS205),2))), 2)</f>
        <v>0</v>
      </c>
      <c r="AI528">
        <v>0</v>
      </c>
    </row>
    <row r="529" spans="1:35" ht="14.25">
      <c r="A529" s="22"/>
      <c r="B529" s="22"/>
      <c r="C529" s="22" t="s">
        <v>485</v>
      </c>
      <c r="D529" s="24"/>
      <c r="E529" s="23"/>
      <c r="F529" s="26">
        <f>Source!AO205</f>
        <v>17.71</v>
      </c>
      <c r="G529" s="25" t="str">
        <f>Source!DG205</f>
        <v/>
      </c>
      <c r="H529" s="23">
        <f>Source!AV205</f>
        <v>1</v>
      </c>
      <c r="I529" s="26">
        <f>ROUND((ROUND((Source!AF205*Source!AV205*Source!I205),2)),2)</f>
        <v>17.71</v>
      </c>
      <c r="J529" s="23">
        <f>IF(Source!BA205&lt;&gt; 0, Source!BA205, 1)</f>
        <v>57.76</v>
      </c>
      <c r="K529" s="26">
        <f>Source!S205</f>
        <v>1022.93</v>
      </c>
      <c r="W529">
        <f>I529</f>
        <v>17.71</v>
      </c>
    </row>
    <row r="530" spans="1:35" ht="14.25">
      <c r="A530" s="22"/>
      <c r="B530" s="22"/>
      <c r="C530" s="22" t="s">
        <v>487</v>
      </c>
      <c r="D530" s="24" t="s">
        <v>488</v>
      </c>
      <c r="E530" s="23">
        <f>Source!BZ205</f>
        <v>74</v>
      </c>
      <c r="F530" s="26"/>
      <c r="G530" s="25"/>
      <c r="H530" s="23"/>
      <c r="I530" s="26">
        <f>SUM(Q528:Q529)</f>
        <v>13.11</v>
      </c>
      <c r="J530" s="23">
        <f>Source!AT205</f>
        <v>74</v>
      </c>
      <c r="K530" s="26">
        <f>SUM(R528:R529)</f>
        <v>756.97</v>
      </c>
    </row>
    <row r="531" spans="1:35" ht="14.25">
      <c r="A531" s="22"/>
      <c r="B531" s="22"/>
      <c r="C531" s="22" t="s">
        <v>489</v>
      </c>
      <c r="D531" s="24" t="s">
        <v>488</v>
      </c>
      <c r="E531" s="23">
        <f>Source!CA205</f>
        <v>36</v>
      </c>
      <c r="F531" s="26"/>
      <c r="G531" s="25"/>
      <c r="H531" s="23"/>
      <c r="I531" s="26">
        <f>SUM(S528:S530)</f>
        <v>6.38</v>
      </c>
      <c r="J531" s="23">
        <f>Source!AU205</f>
        <v>36</v>
      </c>
      <c r="K531" s="26">
        <f>SUM(T528:T530)</f>
        <v>368.25</v>
      </c>
    </row>
    <row r="532" spans="1:35" ht="14.25">
      <c r="A532" s="28"/>
      <c r="B532" s="28"/>
      <c r="C532" s="28" t="s">
        <v>490</v>
      </c>
      <c r="D532" s="29" t="s">
        <v>491</v>
      </c>
      <c r="E532" s="30">
        <f>Source!AQ205</f>
        <v>1.44</v>
      </c>
      <c r="F532" s="31"/>
      <c r="G532" s="32" t="str">
        <f>Source!DI205</f>
        <v/>
      </c>
      <c r="H532" s="30">
        <f>Source!AV205</f>
        <v>1</v>
      </c>
      <c r="I532" s="31">
        <f>Source!U205</f>
        <v>1.44</v>
      </c>
      <c r="J532" s="30"/>
      <c r="K532" s="31"/>
      <c r="AB532" s="27">
        <f>I532</f>
        <v>1.44</v>
      </c>
    </row>
    <row r="533" spans="1:35" ht="15">
      <c r="C533" s="33" t="s">
        <v>492</v>
      </c>
      <c r="H533" s="69">
        <f>I529+I530+I531+0-0-0</f>
        <v>37.200000000000003</v>
      </c>
      <c r="I533" s="69"/>
      <c r="J533" s="69">
        <f>K529+K530+K531+0-0-0</f>
        <v>2148.15</v>
      </c>
      <c r="K533" s="69"/>
    </row>
    <row r="534" spans="1:35" ht="15" hidden="1">
      <c r="C534" s="33" t="s">
        <v>493</v>
      </c>
      <c r="H534" s="68">
        <f>0+0</f>
        <v>0</v>
      </c>
      <c r="I534" s="68"/>
      <c r="J534" s="68">
        <f>0+0</f>
        <v>0</v>
      </c>
      <c r="K534" s="68"/>
    </row>
    <row r="535" spans="1:35" ht="15">
      <c r="H535" s="68"/>
      <c r="I535" s="68"/>
      <c r="J535" s="68"/>
      <c r="K535" s="68"/>
      <c r="O535" s="27">
        <f>I529+I530+I531+0</f>
        <v>37.200000000000003</v>
      </c>
      <c r="P535" s="27">
        <f>K529+K530+K531+0</f>
        <v>2148.15</v>
      </c>
      <c r="X535">
        <f>IF(Source!BI205&lt;=1,I529+I530+I531-0, 0)</f>
        <v>0</v>
      </c>
      <c r="Y535">
        <f>IF(Source!BI205=2,I529+I530+I531-0, 0)</f>
        <v>0</v>
      </c>
      <c r="Z535">
        <f>IF(Source!BI205=3,I529+I530+I531-0, 0)</f>
        <v>0</v>
      </c>
      <c r="AA535">
        <f>IF(Source!BI205=4,I529+I530+I531,0)</f>
        <v>37.200000000000003</v>
      </c>
    </row>
    <row r="537" spans="1:35" ht="42.75">
      <c r="A537" s="22">
        <v>51</v>
      </c>
      <c r="B537" s="22" t="str">
        <f>Source!F206</f>
        <v>5.1-152-1</v>
      </c>
      <c r="C537" s="22" t="s">
        <v>123</v>
      </c>
      <c r="D537" s="24" t="str">
        <f>Source!H206</f>
        <v>1 ТОЧКА</v>
      </c>
      <c r="E537" s="23">
        <f>Source!I206</f>
        <v>5</v>
      </c>
      <c r="F537" s="26"/>
      <c r="G537" s="25"/>
      <c r="H537" s="23"/>
      <c r="I537" s="26"/>
      <c r="J537" s="23"/>
      <c r="K537" s="26"/>
      <c r="Q537">
        <f>ROUND((Source!BZ206/100)*(ROUND((ROUND((Source!AF206*Source!AV206*Source!I206),2)),2)+(ROUND((ROUND(((Source!EU206)*Source!AV206*Source!I206),2)),2)+ROUND((ROUND(((Source!AE206-(Source!EU206))*Source!AV206*Source!I206),2)),2))), 2)</f>
        <v>7.03</v>
      </c>
      <c r="R537">
        <f>Source!X206</f>
        <v>406.05</v>
      </c>
      <c r="S537">
        <f>ROUND((Source!CA206/100)*(ROUND((ROUND((Source!AF206*Source!AV206*Source!I206),2)),2)+(ROUND((ROUND(((Source!EU206)*Source!AV206*Source!I206),2)),2)+ROUND((ROUND(((Source!AE206-(Source!EU206))*Source!AV206*Source!I206),2)),2))), 2)</f>
        <v>3.42</v>
      </c>
      <c r="T537">
        <f>Source!Y206</f>
        <v>197.54</v>
      </c>
      <c r="U537">
        <f>ROUND((175/100)*((ROUND((ROUND(((Source!EU206)*Source!AV206*Source!I206),2)),2)+ROUND((ROUND(((Source!AE206-(Source!EU206))*Source!AV206*Source!I206),2)),2))), 2)</f>
        <v>0</v>
      </c>
      <c r="V537">
        <f>ROUND((0/100)*((ROUND((ROUND(((Source!EU206)*Source!AV206*Source!I206),2)*Source!BS206),2)+ROUND((ROUND(((Source!AE206-(Source!EU206))*Source!AV206*Source!I206),2)*Source!BS206),2))), 2)</f>
        <v>0</v>
      </c>
      <c r="AI537">
        <v>0</v>
      </c>
    </row>
    <row r="538" spans="1:35" ht="14.25">
      <c r="A538" s="22"/>
      <c r="B538" s="22"/>
      <c r="C538" s="22" t="s">
        <v>485</v>
      </c>
      <c r="D538" s="24"/>
      <c r="E538" s="23"/>
      <c r="F538" s="26">
        <f>Source!AO206</f>
        <v>1.9</v>
      </c>
      <c r="G538" s="25" t="str">
        <f>Source!DG206</f>
        <v/>
      </c>
      <c r="H538" s="23">
        <f>Source!AV206</f>
        <v>1</v>
      </c>
      <c r="I538" s="26">
        <f>ROUND((ROUND((Source!AF206*Source!AV206*Source!I206),2)),2)</f>
        <v>9.5</v>
      </c>
      <c r="J538" s="23">
        <f>IF(Source!BA206&lt;&gt; 0, Source!BA206, 1)</f>
        <v>57.76</v>
      </c>
      <c r="K538" s="26">
        <f>Source!S206</f>
        <v>548.72</v>
      </c>
      <c r="W538">
        <f>I538</f>
        <v>9.5</v>
      </c>
    </row>
    <row r="539" spans="1:35" ht="14.25">
      <c r="A539" s="22"/>
      <c r="B539" s="22"/>
      <c r="C539" s="22" t="s">
        <v>487</v>
      </c>
      <c r="D539" s="24" t="s">
        <v>488</v>
      </c>
      <c r="E539" s="23">
        <f>Source!BZ206</f>
        <v>74</v>
      </c>
      <c r="F539" s="26"/>
      <c r="G539" s="25"/>
      <c r="H539" s="23"/>
      <c r="I539" s="26">
        <f>SUM(Q537:Q538)</f>
        <v>7.03</v>
      </c>
      <c r="J539" s="23">
        <f>Source!AT206</f>
        <v>74</v>
      </c>
      <c r="K539" s="26">
        <f>SUM(R537:R538)</f>
        <v>406.05</v>
      </c>
    </row>
    <row r="540" spans="1:35" ht="14.25">
      <c r="A540" s="22"/>
      <c r="B540" s="22"/>
      <c r="C540" s="22" t="s">
        <v>489</v>
      </c>
      <c r="D540" s="24" t="s">
        <v>488</v>
      </c>
      <c r="E540" s="23">
        <f>Source!CA206</f>
        <v>36</v>
      </c>
      <c r="F540" s="26"/>
      <c r="G540" s="25"/>
      <c r="H540" s="23"/>
      <c r="I540" s="26">
        <f>SUM(S537:S539)</f>
        <v>3.42</v>
      </c>
      <c r="J540" s="23">
        <f>Source!AU206</f>
        <v>36</v>
      </c>
      <c r="K540" s="26">
        <f>SUM(T537:T539)</f>
        <v>197.54</v>
      </c>
    </row>
    <row r="541" spans="1:35" ht="14.25">
      <c r="A541" s="28"/>
      <c r="B541" s="28"/>
      <c r="C541" s="28" t="s">
        <v>490</v>
      </c>
      <c r="D541" s="29" t="s">
        <v>491</v>
      </c>
      <c r="E541" s="30">
        <f>Source!AQ206</f>
        <v>0.12</v>
      </c>
      <c r="F541" s="31"/>
      <c r="G541" s="32" t="str">
        <f>Source!DI206</f>
        <v/>
      </c>
      <c r="H541" s="30">
        <f>Source!AV206</f>
        <v>1</v>
      </c>
      <c r="I541" s="31">
        <f>Source!U206</f>
        <v>0.6</v>
      </c>
      <c r="J541" s="30"/>
      <c r="K541" s="31"/>
      <c r="AB541" s="27">
        <f>I541</f>
        <v>0.6</v>
      </c>
    </row>
    <row r="542" spans="1:35" ht="15">
      <c r="C542" s="33" t="s">
        <v>492</v>
      </c>
      <c r="H542" s="69">
        <f>I538+I539+I540+0-0-0</f>
        <v>19.950000000000003</v>
      </c>
      <c r="I542" s="69"/>
      <c r="J542" s="69">
        <f>K538+K539+K540+0-0-0</f>
        <v>1152.31</v>
      </c>
      <c r="K542" s="69"/>
    </row>
    <row r="543" spans="1:35" ht="15" hidden="1">
      <c r="C543" s="33" t="s">
        <v>493</v>
      </c>
      <c r="H543" s="68">
        <f>0+0</f>
        <v>0</v>
      </c>
      <c r="I543" s="68"/>
      <c r="J543" s="68">
        <f>0+0</f>
        <v>0</v>
      </c>
      <c r="K543" s="68"/>
    </row>
    <row r="544" spans="1:35" ht="15">
      <c r="H544" s="68"/>
      <c r="I544" s="68"/>
      <c r="J544" s="68"/>
      <c r="K544" s="68"/>
      <c r="O544" s="27">
        <f>I538+I539+I540+0</f>
        <v>19.950000000000003</v>
      </c>
      <c r="P544" s="27">
        <f>K538+K539+K540+0</f>
        <v>1152.31</v>
      </c>
      <c r="X544">
        <f>IF(Source!BI206&lt;=1,I538+I539+I540-0, 0)</f>
        <v>0</v>
      </c>
      <c r="Y544">
        <f>IF(Source!BI206=2,I538+I539+I540-0, 0)</f>
        <v>0</v>
      </c>
      <c r="Z544">
        <f>IF(Source!BI206=3,I538+I539+I540-0, 0)</f>
        <v>0</v>
      </c>
      <c r="AA544">
        <f>IF(Source!BI206=4,I538+I539+I540,0)</f>
        <v>19.950000000000003</v>
      </c>
    </row>
    <row r="546" spans="1:35" ht="99.75">
      <c r="A546" s="22">
        <v>52</v>
      </c>
      <c r="B546" s="22" t="str">
        <f>Source!F207</f>
        <v>5.1-162-1</v>
      </c>
      <c r="C546" s="22" t="s">
        <v>118</v>
      </c>
      <c r="D546" s="24" t="str">
        <f>Source!H207</f>
        <v>1 измерение</v>
      </c>
      <c r="E546" s="23">
        <f>Source!I207</f>
        <v>3</v>
      </c>
      <c r="F546" s="26"/>
      <c r="G546" s="25"/>
      <c r="H546" s="23"/>
      <c r="I546" s="26"/>
      <c r="J546" s="23"/>
      <c r="K546" s="26"/>
      <c r="Q546">
        <f>ROUND((Source!BZ207/100)*(ROUND((ROUND((Source!AF207*Source!AV207*Source!I207),2)),2)+(ROUND((ROUND(((Source!EU207)*Source!AV207*Source!I207),2)),2)+ROUND((ROUND(((Source!AE207-(Source!EU207))*Source!AV207*Source!I207),2)),2))), 2)</f>
        <v>10.119999999999999</v>
      </c>
      <c r="R546">
        <f>Source!X207</f>
        <v>584.72</v>
      </c>
      <c r="S546">
        <f>ROUND((Source!CA207/100)*(ROUND((ROUND((Source!AF207*Source!AV207*Source!I207),2)),2)+(ROUND((ROUND(((Source!EU207)*Source!AV207*Source!I207),2)),2)+ROUND((ROUND(((Source!AE207-(Source!EU207))*Source!AV207*Source!I207),2)),2))), 2)</f>
        <v>4.92</v>
      </c>
      <c r="T546">
        <f>Source!Y207</f>
        <v>284.45999999999998</v>
      </c>
      <c r="U546">
        <f>ROUND((175/100)*((ROUND((ROUND(((Source!EU207)*Source!AV207*Source!I207),2)),2)+ROUND((ROUND(((Source!AE207-(Source!EU207))*Source!AV207*Source!I207),2)),2))), 2)</f>
        <v>0</v>
      </c>
      <c r="V546">
        <f>ROUND((0/100)*((ROUND((ROUND(((Source!EU207)*Source!AV207*Source!I207),2)*Source!BS207),2)+ROUND((ROUND(((Source!AE207-(Source!EU207))*Source!AV207*Source!I207),2)*Source!BS207),2))), 2)</f>
        <v>0</v>
      </c>
      <c r="AI546">
        <v>0</v>
      </c>
    </row>
    <row r="547" spans="1:35" ht="14.25">
      <c r="A547" s="22"/>
      <c r="B547" s="22"/>
      <c r="C547" s="22" t="s">
        <v>485</v>
      </c>
      <c r="D547" s="24"/>
      <c r="E547" s="23"/>
      <c r="F547" s="26">
        <f>Source!AO207</f>
        <v>4.5599999999999996</v>
      </c>
      <c r="G547" s="25" t="str">
        <f>Source!DG207</f>
        <v/>
      </c>
      <c r="H547" s="23">
        <f>Source!AV207</f>
        <v>1</v>
      </c>
      <c r="I547" s="26">
        <f>ROUND((ROUND((Source!AF207*Source!AV207*Source!I207),2)),2)</f>
        <v>13.68</v>
      </c>
      <c r="J547" s="23">
        <f>IF(Source!BA207&lt;&gt; 0, Source!BA207, 1)</f>
        <v>57.76</v>
      </c>
      <c r="K547" s="26">
        <f>Source!S207</f>
        <v>790.16</v>
      </c>
      <c r="W547">
        <f>I547</f>
        <v>13.68</v>
      </c>
    </row>
    <row r="548" spans="1:35" ht="14.25">
      <c r="A548" s="22"/>
      <c r="B548" s="22"/>
      <c r="C548" s="22" t="s">
        <v>487</v>
      </c>
      <c r="D548" s="24" t="s">
        <v>488</v>
      </c>
      <c r="E548" s="23">
        <f>Source!BZ207</f>
        <v>74</v>
      </c>
      <c r="F548" s="26"/>
      <c r="G548" s="25"/>
      <c r="H548" s="23"/>
      <c r="I548" s="26">
        <f>SUM(Q546:Q547)</f>
        <v>10.119999999999999</v>
      </c>
      <c r="J548" s="23">
        <f>Source!AT207</f>
        <v>74</v>
      </c>
      <c r="K548" s="26">
        <f>SUM(R546:R547)</f>
        <v>584.72</v>
      </c>
    </row>
    <row r="549" spans="1:35" ht="14.25">
      <c r="A549" s="22"/>
      <c r="B549" s="22"/>
      <c r="C549" s="22" t="s">
        <v>489</v>
      </c>
      <c r="D549" s="24" t="s">
        <v>488</v>
      </c>
      <c r="E549" s="23">
        <f>Source!CA207</f>
        <v>36</v>
      </c>
      <c r="F549" s="26"/>
      <c r="G549" s="25"/>
      <c r="H549" s="23"/>
      <c r="I549" s="26">
        <f>SUM(S546:S548)</f>
        <v>4.92</v>
      </c>
      <c r="J549" s="23">
        <f>Source!AU207</f>
        <v>36</v>
      </c>
      <c r="K549" s="26">
        <f>SUM(T546:T548)</f>
        <v>284.45999999999998</v>
      </c>
    </row>
    <row r="550" spans="1:35" ht="14.25">
      <c r="A550" s="28"/>
      <c r="B550" s="28"/>
      <c r="C550" s="28" t="s">
        <v>490</v>
      </c>
      <c r="D550" s="29" t="s">
        <v>491</v>
      </c>
      <c r="E550" s="30">
        <f>Source!AQ207</f>
        <v>0.28999999999999998</v>
      </c>
      <c r="F550" s="31"/>
      <c r="G550" s="32" t="str">
        <f>Source!DI207</f>
        <v/>
      </c>
      <c r="H550" s="30">
        <f>Source!AV207</f>
        <v>1</v>
      </c>
      <c r="I550" s="31">
        <f>Source!U207</f>
        <v>0.86999999999999988</v>
      </c>
      <c r="J550" s="30"/>
      <c r="K550" s="31"/>
      <c r="AB550" s="27">
        <f>I550</f>
        <v>0.86999999999999988</v>
      </c>
    </row>
    <row r="551" spans="1:35" ht="15">
      <c r="C551" s="33" t="s">
        <v>492</v>
      </c>
      <c r="H551" s="69">
        <f>I547+I548+I549+0-0-0</f>
        <v>28.72</v>
      </c>
      <c r="I551" s="69"/>
      <c r="J551" s="69">
        <f>K547+K548+K549+0-0-0</f>
        <v>1659.3400000000001</v>
      </c>
      <c r="K551" s="69"/>
    </row>
    <row r="552" spans="1:35" ht="15" hidden="1">
      <c r="C552" s="33" t="s">
        <v>493</v>
      </c>
      <c r="H552" s="68">
        <f>0+0</f>
        <v>0</v>
      </c>
      <c r="I552" s="68"/>
      <c r="J552" s="68">
        <f>0+0</f>
        <v>0</v>
      </c>
      <c r="K552" s="68"/>
    </row>
    <row r="553" spans="1:35" ht="15">
      <c r="H553" s="68"/>
      <c r="I553" s="68"/>
      <c r="J553" s="68"/>
      <c r="K553" s="68"/>
      <c r="O553" s="27">
        <f>I547+I548+I549+0</f>
        <v>28.72</v>
      </c>
      <c r="P553" s="27">
        <f>K547+K548+K549+0</f>
        <v>1659.3400000000001</v>
      </c>
      <c r="X553">
        <f>IF(Source!BI207&lt;=1,I547+I548+I549-0, 0)</f>
        <v>0</v>
      </c>
      <c r="Y553">
        <f>IF(Source!BI207=2,I547+I548+I549-0, 0)</f>
        <v>0</v>
      </c>
      <c r="Z553">
        <f>IF(Source!BI207=3,I547+I548+I549-0, 0)</f>
        <v>0</v>
      </c>
      <c r="AA553">
        <f>IF(Source!BI207=4,I547+I548+I549,0)</f>
        <v>28.72</v>
      </c>
    </row>
    <row r="555" spans="1:35" ht="57">
      <c r="A555" s="22">
        <v>53</v>
      </c>
      <c r="B555" s="22" t="str">
        <f>Source!F208</f>
        <v>5.1-155-1</v>
      </c>
      <c r="C555" s="22" t="s">
        <v>128</v>
      </c>
      <c r="D555" s="24" t="str">
        <f>Source!H208</f>
        <v>1 точка прикосновения</v>
      </c>
      <c r="E555" s="23">
        <f>Source!I208</f>
        <v>1</v>
      </c>
      <c r="F555" s="26"/>
      <c r="G555" s="25"/>
      <c r="H555" s="23"/>
      <c r="I555" s="26"/>
      <c r="J555" s="23"/>
      <c r="K555" s="26"/>
      <c r="Q555">
        <f>ROUND((Source!BZ208/100)*(ROUND((ROUND((Source!AF208*Source!AV208*Source!I208),2)),2)+(ROUND((ROUND(((Source!EU208)*Source!AV208*Source!I208),2)),2)+ROUND((ROUND(((Source!AE208-(Source!EU208))*Source!AV208*Source!I208),2)),2))), 2)</f>
        <v>131.16999999999999</v>
      </c>
      <c r="R555">
        <f>Source!X208</f>
        <v>7576.52</v>
      </c>
      <c r="S555">
        <f>ROUND((Source!CA208/100)*(ROUND((ROUND((Source!AF208*Source!AV208*Source!I208),2)),2)+(ROUND((ROUND(((Source!EU208)*Source!AV208*Source!I208),2)),2)+ROUND((ROUND(((Source!AE208-(Source!EU208))*Source!AV208*Source!I208),2)),2))), 2)</f>
        <v>63.81</v>
      </c>
      <c r="T555">
        <f>Source!Y208</f>
        <v>3685.87</v>
      </c>
      <c r="U555">
        <f>ROUND((175/100)*((ROUND((ROUND(((Source!EU208)*Source!AV208*Source!I208),2)),2)+ROUND((ROUND(((Source!AE208-(Source!EU208))*Source!AV208*Source!I208),2)),2))), 2)</f>
        <v>0</v>
      </c>
      <c r="V555">
        <f>ROUND((0/100)*((ROUND((ROUND(((Source!EU208)*Source!AV208*Source!I208),2)*Source!BS208),2)+ROUND((ROUND(((Source!AE208-(Source!EU208))*Source!AV208*Source!I208),2)*Source!BS208),2))), 2)</f>
        <v>0</v>
      </c>
      <c r="AI555">
        <v>0</v>
      </c>
    </row>
    <row r="556" spans="1:35" ht="14.25">
      <c r="A556" s="22"/>
      <c r="B556" s="22"/>
      <c r="C556" s="22" t="s">
        <v>485</v>
      </c>
      <c r="D556" s="24"/>
      <c r="E556" s="23"/>
      <c r="F556" s="26">
        <f>Source!AO208</f>
        <v>177.26</v>
      </c>
      <c r="G556" s="25" t="str">
        <f>Source!DG208</f>
        <v/>
      </c>
      <c r="H556" s="23">
        <f>Source!AV208</f>
        <v>1</v>
      </c>
      <c r="I556" s="26">
        <f>ROUND((ROUND((Source!AF208*Source!AV208*Source!I208),2)),2)</f>
        <v>177.26</v>
      </c>
      <c r="J556" s="23">
        <f>IF(Source!BA208&lt;&gt; 0, Source!BA208, 1)</f>
        <v>57.76</v>
      </c>
      <c r="K556" s="26">
        <f>Source!S208</f>
        <v>10238.540000000001</v>
      </c>
      <c r="W556">
        <f>I556</f>
        <v>177.26</v>
      </c>
    </row>
    <row r="557" spans="1:35" ht="14.25">
      <c r="A557" s="22"/>
      <c r="B557" s="22"/>
      <c r="C557" s="22" t="s">
        <v>487</v>
      </c>
      <c r="D557" s="24" t="s">
        <v>488</v>
      </c>
      <c r="E557" s="23">
        <f>Source!BZ208</f>
        <v>74</v>
      </c>
      <c r="F557" s="26"/>
      <c r="G557" s="25"/>
      <c r="H557" s="23"/>
      <c r="I557" s="26">
        <f>SUM(Q555:Q556)</f>
        <v>131.16999999999999</v>
      </c>
      <c r="J557" s="23">
        <f>Source!AT208</f>
        <v>74</v>
      </c>
      <c r="K557" s="26">
        <f>SUM(R555:R556)</f>
        <v>7576.52</v>
      </c>
    </row>
    <row r="558" spans="1:35" ht="14.25">
      <c r="A558" s="22"/>
      <c r="B558" s="22"/>
      <c r="C558" s="22" t="s">
        <v>489</v>
      </c>
      <c r="D558" s="24" t="s">
        <v>488</v>
      </c>
      <c r="E558" s="23">
        <f>Source!CA208</f>
        <v>36</v>
      </c>
      <c r="F558" s="26"/>
      <c r="G558" s="25"/>
      <c r="H558" s="23"/>
      <c r="I558" s="26">
        <f>SUM(S555:S557)</f>
        <v>63.81</v>
      </c>
      <c r="J558" s="23">
        <f>Source!AU208</f>
        <v>36</v>
      </c>
      <c r="K558" s="26">
        <f>SUM(T555:T557)</f>
        <v>3685.87</v>
      </c>
    </row>
    <row r="559" spans="1:35" ht="14.25">
      <c r="A559" s="28"/>
      <c r="B559" s="28"/>
      <c r="C559" s="28" t="s">
        <v>490</v>
      </c>
      <c r="D559" s="29" t="s">
        <v>491</v>
      </c>
      <c r="E559" s="30">
        <f>Source!AQ208</f>
        <v>11.2</v>
      </c>
      <c r="F559" s="31"/>
      <c r="G559" s="32" t="str">
        <f>Source!DI208</f>
        <v/>
      </c>
      <c r="H559" s="30">
        <f>Source!AV208</f>
        <v>1</v>
      </c>
      <c r="I559" s="31">
        <f>Source!U208</f>
        <v>11.2</v>
      </c>
      <c r="J559" s="30"/>
      <c r="K559" s="31"/>
      <c r="AB559" s="27">
        <f>I559</f>
        <v>11.2</v>
      </c>
    </row>
    <row r="560" spans="1:35" ht="15">
      <c r="C560" s="33" t="s">
        <v>492</v>
      </c>
      <c r="H560" s="69">
        <f>I556+I557+I558+0-0-0</f>
        <v>372.23999999999995</v>
      </c>
      <c r="I560" s="69"/>
      <c r="J560" s="69">
        <f>K556+K557+K558+0-0-0</f>
        <v>21500.93</v>
      </c>
      <c r="K560" s="69"/>
    </row>
    <row r="561" spans="1:43" ht="15" hidden="1">
      <c r="C561" s="33" t="s">
        <v>493</v>
      </c>
      <c r="H561" s="68">
        <f>0+0</f>
        <v>0</v>
      </c>
      <c r="I561" s="68"/>
      <c r="J561" s="68">
        <f>0+0</f>
        <v>0</v>
      </c>
      <c r="K561" s="68"/>
    </row>
    <row r="562" spans="1:43" ht="15">
      <c r="H562" s="68"/>
      <c r="I562" s="68"/>
      <c r="J562" s="68"/>
      <c r="K562" s="68"/>
      <c r="O562" s="27">
        <f>I556+I557+I558+0</f>
        <v>372.23999999999995</v>
      </c>
      <c r="P562" s="27">
        <f>K556+K557+K558+0</f>
        <v>21500.93</v>
      </c>
      <c r="X562">
        <f>IF(Source!BI208&lt;=1,I556+I557+I558-0, 0)</f>
        <v>0</v>
      </c>
      <c r="Y562">
        <f>IF(Source!BI208=2,I556+I557+I558-0, 0)</f>
        <v>0</v>
      </c>
      <c r="Z562">
        <f>IF(Source!BI208=3,I556+I557+I558-0, 0)</f>
        <v>0</v>
      </c>
      <c r="AA562">
        <f>IF(Source!BI208=4,I556+I557+I558,0)</f>
        <v>372.23999999999995</v>
      </c>
    </row>
    <row r="565" spans="1:43" ht="15">
      <c r="A565" s="72" t="str">
        <f>CONCATENATE("Итого по разделу: ",IF(Source!G210&lt;&gt;"Новый раздел", Source!G210, ""))</f>
        <v>Итого по разделу: Освещение (коридор)</v>
      </c>
      <c r="B565" s="72"/>
      <c r="C565" s="72"/>
      <c r="D565" s="72"/>
      <c r="E565" s="72"/>
      <c r="F565" s="72"/>
      <c r="G565" s="72"/>
      <c r="H565" s="68">
        <f>SUM(O313:O564)</f>
        <v>11414.900000000003</v>
      </c>
      <c r="I565" s="71"/>
      <c r="J565" s="68">
        <f>SUM(P313:P564)</f>
        <v>140159.75</v>
      </c>
      <c r="K565" s="71"/>
    </row>
    <row r="566" spans="1:43" hidden="1">
      <c r="A566" t="s">
        <v>500</v>
      </c>
      <c r="H566">
        <f>SUM(AC313:AC565)</f>
        <v>0</v>
      </c>
      <c r="J566">
        <f>SUM(AD313:AD565)</f>
        <v>0</v>
      </c>
    </row>
    <row r="567" spans="1:43" hidden="1">
      <c r="A567" t="s">
        <v>501</v>
      </c>
      <c r="H567">
        <f>SUM(AE313:AE566)</f>
        <v>0</v>
      </c>
      <c r="J567">
        <f>SUM(AF313:AF566)</f>
        <v>0</v>
      </c>
    </row>
    <row r="569" spans="1:43" ht="15">
      <c r="A569" s="72" t="str">
        <f>CONCATENATE("Итого по локальной смете: ",IF(Source!G240&lt;&gt;"Новая локальная смета", Source!G240, ""))</f>
        <v xml:space="preserve">Итого по локальной смете: </v>
      </c>
      <c r="B569" s="72"/>
      <c r="C569" s="72"/>
      <c r="D569" s="72"/>
      <c r="E569" s="72"/>
      <c r="F569" s="72"/>
      <c r="G569" s="72"/>
      <c r="H569" s="68">
        <f>SUM(O36:O568)</f>
        <v>67097.639999999985</v>
      </c>
      <c r="I569" s="71"/>
      <c r="J569" s="68">
        <f>SUM(P36:P568)</f>
        <v>433145.73000000004</v>
      </c>
      <c r="K569" s="71"/>
    </row>
    <row r="570" spans="1:43" hidden="1">
      <c r="A570" t="s">
        <v>500</v>
      </c>
      <c r="H570">
        <f>SUM(AC36:AC569)</f>
        <v>0</v>
      </c>
      <c r="J570">
        <f>SUM(AD36:AD569)</f>
        <v>0</v>
      </c>
    </row>
    <row r="571" spans="1:43" hidden="1">
      <c r="A571" t="s">
        <v>501</v>
      </c>
      <c r="H571">
        <f>SUM(AE36:AE570)</f>
        <v>0</v>
      </c>
      <c r="J571">
        <f>SUM(AF36:AF570)</f>
        <v>0</v>
      </c>
    </row>
    <row r="572" spans="1:43" ht="14.25">
      <c r="C572" s="55" t="str">
        <f>Source!H269</f>
        <v>НДС 22%</v>
      </c>
      <c r="D572" s="55"/>
      <c r="E572" s="55"/>
      <c r="F572" s="55"/>
      <c r="G572" s="55"/>
      <c r="H572" s="55"/>
      <c r="I572" s="55"/>
      <c r="J572" s="74">
        <f>IF(Source!F269=0, "", Source!F269)</f>
        <v>95292.06</v>
      </c>
      <c r="K572" s="74"/>
    </row>
    <row r="573" spans="1:43" ht="14.25">
      <c r="C573" s="55" t="str">
        <f>Source!H270</f>
        <v>Всего</v>
      </c>
      <c r="D573" s="55"/>
      <c r="E573" s="55"/>
      <c r="F573" s="55"/>
      <c r="G573" s="55"/>
      <c r="H573" s="55"/>
      <c r="I573" s="55"/>
      <c r="J573" s="74">
        <f>IF(Source!F270=0, "", Source!F270)</f>
        <v>528437.79</v>
      </c>
      <c r="K573" s="74"/>
    </row>
    <row r="575" spans="1:43" ht="15">
      <c r="A575" s="72"/>
      <c r="B575" s="72"/>
      <c r="C575" s="72"/>
      <c r="D575" s="72"/>
      <c r="E575" s="72"/>
      <c r="F575" s="72"/>
      <c r="G575" s="72"/>
      <c r="H575" s="68"/>
      <c r="I575" s="71"/>
      <c r="J575" s="68"/>
      <c r="K575" s="71"/>
      <c r="AQ575" s="38"/>
    </row>
    <row r="576" spans="1:43" hidden="1">
      <c r="A576" t="s">
        <v>500</v>
      </c>
      <c r="H576">
        <f>SUM(AC1:AC575)</f>
        <v>0</v>
      </c>
      <c r="J576">
        <f>SUM(AD1:AD575)</f>
        <v>0</v>
      </c>
    </row>
    <row r="577" spans="1:11" hidden="1">
      <c r="A577" t="s">
        <v>501</v>
      </c>
      <c r="H577">
        <f>SUM(AE1:AE576)</f>
        <v>0</v>
      </c>
      <c r="J577">
        <f>SUM(AF1:AF576)</f>
        <v>0</v>
      </c>
    </row>
    <row r="580" spans="1:11" ht="14.25">
      <c r="A580" s="73" t="s">
        <v>507</v>
      </c>
      <c r="B580" s="73"/>
      <c r="C580" s="39" t="str">
        <f>IF(Source!AC12&lt;&gt;"", Source!AC12," ")</f>
        <v xml:space="preserve"> </v>
      </c>
      <c r="D580" s="39"/>
      <c r="E580" s="39"/>
      <c r="F580" s="39"/>
      <c r="G580" s="39"/>
      <c r="H580" s="61" t="str">
        <f>IF(Source!AB12&lt;&gt;"", Source!AB12," ")</f>
        <v xml:space="preserve"> </v>
      </c>
      <c r="I580" s="61"/>
      <c r="J580" s="61"/>
      <c r="K580" s="61"/>
    </row>
    <row r="581" spans="1:11" ht="14.25">
      <c r="A581" s="11"/>
      <c r="B581" s="11"/>
      <c r="C581" s="58" t="s">
        <v>508</v>
      </c>
      <c r="D581" s="58"/>
      <c r="E581" s="58"/>
      <c r="F581" s="58"/>
      <c r="G581" s="58"/>
      <c r="H581" s="11"/>
      <c r="I581" s="11"/>
      <c r="J581" s="11"/>
      <c r="K581" s="11"/>
    </row>
    <row r="582" spans="1:11" ht="14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</row>
    <row r="583" spans="1:11" ht="14.25">
      <c r="A583" s="73" t="s">
        <v>509</v>
      </c>
      <c r="B583" s="73"/>
      <c r="C583" s="39" t="str">
        <f>IF(Source!AE12&lt;&gt;"", Source!AE12," ")</f>
        <v xml:space="preserve"> </v>
      </c>
      <c r="D583" s="39"/>
      <c r="E583" s="39"/>
      <c r="F583" s="39"/>
      <c r="G583" s="39"/>
      <c r="H583" s="61" t="str">
        <f>IF(Source!AD12&lt;&gt;"", Source!AD12," ")</f>
        <v xml:space="preserve"> </v>
      </c>
      <c r="I583" s="61"/>
      <c r="J583" s="61"/>
      <c r="K583" s="61"/>
    </row>
    <row r="584" spans="1:11" ht="14.25">
      <c r="A584" s="11"/>
      <c r="B584" s="11"/>
      <c r="C584" s="58" t="s">
        <v>508</v>
      </c>
      <c r="D584" s="58"/>
      <c r="E584" s="58"/>
      <c r="F584" s="58"/>
      <c r="G584" s="58"/>
      <c r="H584" s="11"/>
      <c r="I584" s="11"/>
      <c r="J584" s="11"/>
      <c r="K584" s="11"/>
    </row>
  </sheetData>
  <mergeCells count="316">
    <mergeCell ref="A580:B580"/>
    <mergeCell ref="H580:K580"/>
    <mergeCell ref="C581:G581"/>
    <mergeCell ref="A583:B583"/>
    <mergeCell ref="H583:K583"/>
    <mergeCell ref="C584:G584"/>
    <mergeCell ref="C572:I572"/>
    <mergeCell ref="J572:K572"/>
    <mergeCell ref="C573:I573"/>
    <mergeCell ref="J573:K573"/>
    <mergeCell ref="J575:K575"/>
    <mergeCell ref="H575:I575"/>
    <mergeCell ref="A575:G575"/>
    <mergeCell ref="J562:K562"/>
    <mergeCell ref="H562:I562"/>
    <mergeCell ref="J565:K565"/>
    <mergeCell ref="H565:I565"/>
    <mergeCell ref="A565:G565"/>
    <mergeCell ref="J569:K569"/>
    <mergeCell ref="H569:I569"/>
    <mergeCell ref="A569:G569"/>
    <mergeCell ref="J553:K553"/>
    <mergeCell ref="H553:I553"/>
    <mergeCell ref="H560:I560"/>
    <mergeCell ref="J560:K560"/>
    <mergeCell ref="H561:I561"/>
    <mergeCell ref="J561:K561"/>
    <mergeCell ref="J544:K544"/>
    <mergeCell ref="H544:I544"/>
    <mergeCell ref="H551:I551"/>
    <mergeCell ref="J551:K551"/>
    <mergeCell ref="H552:I552"/>
    <mergeCell ref="J552:K552"/>
    <mergeCell ref="J535:K535"/>
    <mergeCell ref="H535:I535"/>
    <mergeCell ref="H542:I542"/>
    <mergeCell ref="J542:K542"/>
    <mergeCell ref="H543:I543"/>
    <mergeCell ref="J543:K543"/>
    <mergeCell ref="J526:K526"/>
    <mergeCell ref="H526:I526"/>
    <mergeCell ref="H533:I533"/>
    <mergeCell ref="J533:K533"/>
    <mergeCell ref="H534:I534"/>
    <mergeCell ref="J534:K534"/>
    <mergeCell ref="H516:I516"/>
    <mergeCell ref="J516:K516"/>
    <mergeCell ref="H524:I524"/>
    <mergeCell ref="J524:K524"/>
    <mergeCell ref="H525:I525"/>
    <mergeCell ref="J525:K525"/>
    <mergeCell ref="H511:I511"/>
    <mergeCell ref="J511:K511"/>
    <mergeCell ref="H512:I512"/>
    <mergeCell ref="J512:K512"/>
    <mergeCell ref="J513:K513"/>
    <mergeCell ref="H513:I513"/>
    <mergeCell ref="H499:I499"/>
    <mergeCell ref="J499:K499"/>
    <mergeCell ref="H500:I500"/>
    <mergeCell ref="J500:K500"/>
    <mergeCell ref="J501:K501"/>
    <mergeCell ref="H501:I501"/>
    <mergeCell ref="H488:I488"/>
    <mergeCell ref="J488:K488"/>
    <mergeCell ref="H489:I489"/>
    <mergeCell ref="J489:K489"/>
    <mergeCell ref="J490:K490"/>
    <mergeCell ref="H490:I490"/>
    <mergeCell ref="H476:I476"/>
    <mergeCell ref="J476:K476"/>
    <mergeCell ref="H477:I477"/>
    <mergeCell ref="J477:K477"/>
    <mergeCell ref="J478:K478"/>
    <mergeCell ref="H478:I478"/>
    <mergeCell ref="H462:I462"/>
    <mergeCell ref="J462:K462"/>
    <mergeCell ref="H463:I463"/>
    <mergeCell ref="J463:K463"/>
    <mergeCell ref="J464:K464"/>
    <mergeCell ref="H464:I464"/>
    <mergeCell ref="H451:I451"/>
    <mergeCell ref="J451:K451"/>
    <mergeCell ref="H452:I452"/>
    <mergeCell ref="J452:K452"/>
    <mergeCell ref="J453:K453"/>
    <mergeCell ref="H453:I453"/>
    <mergeCell ref="H435:I435"/>
    <mergeCell ref="J435:K435"/>
    <mergeCell ref="J436:K436"/>
    <mergeCell ref="H436:I436"/>
    <mergeCell ref="H439:I439"/>
    <mergeCell ref="J439:K439"/>
    <mergeCell ref="J419:K419"/>
    <mergeCell ref="H419:I419"/>
    <mergeCell ref="H422:I422"/>
    <mergeCell ref="J422:K422"/>
    <mergeCell ref="H434:I434"/>
    <mergeCell ref="J434:K434"/>
    <mergeCell ref="J405:K405"/>
    <mergeCell ref="H405:I405"/>
    <mergeCell ref="H417:I417"/>
    <mergeCell ref="J417:K417"/>
    <mergeCell ref="H418:I418"/>
    <mergeCell ref="J418:K418"/>
    <mergeCell ref="J391:K391"/>
    <mergeCell ref="H391:I391"/>
    <mergeCell ref="H403:I403"/>
    <mergeCell ref="J403:K403"/>
    <mergeCell ref="H404:I404"/>
    <mergeCell ref="J404:K404"/>
    <mergeCell ref="H378:I378"/>
    <mergeCell ref="J378:K378"/>
    <mergeCell ref="H389:I389"/>
    <mergeCell ref="J389:K389"/>
    <mergeCell ref="H390:I390"/>
    <mergeCell ref="J390:K390"/>
    <mergeCell ref="H373:I373"/>
    <mergeCell ref="J373:K373"/>
    <mergeCell ref="H374:I374"/>
    <mergeCell ref="J374:K374"/>
    <mergeCell ref="J375:K375"/>
    <mergeCell ref="H375:I375"/>
    <mergeCell ref="H357:I357"/>
    <mergeCell ref="J357:K357"/>
    <mergeCell ref="J358:K358"/>
    <mergeCell ref="H358:I358"/>
    <mergeCell ref="H361:I361"/>
    <mergeCell ref="J361:K361"/>
    <mergeCell ref="J340:K340"/>
    <mergeCell ref="H340:I340"/>
    <mergeCell ref="H343:I343"/>
    <mergeCell ref="J343:K343"/>
    <mergeCell ref="H356:I356"/>
    <mergeCell ref="J356:K356"/>
    <mergeCell ref="J327:K327"/>
    <mergeCell ref="H327:I327"/>
    <mergeCell ref="H338:I338"/>
    <mergeCell ref="J338:K338"/>
    <mergeCell ref="H339:I339"/>
    <mergeCell ref="J339:K339"/>
    <mergeCell ref="A309:G309"/>
    <mergeCell ref="A313:K313"/>
    <mergeCell ref="H325:I325"/>
    <mergeCell ref="J325:K325"/>
    <mergeCell ref="H326:I326"/>
    <mergeCell ref="J326:K326"/>
    <mergeCell ref="H305:I305"/>
    <mergeCell ref="J305:K305"/>
    <mergeCell ref="J306:K306"/>
    <mergeCell ref="H306:I306"/>
    <mergeCell ref="J309:K309"/>
    <mergeCell ref="H309:I309"/>
    <mergeCell ref="H296:I296"/>
    <mergeCell ref="J296:K296"/>
    <mergeCell ref="J297:K297"/>
    <mergeCell ref="H297:I297"/>
    <mergeCell ref="H304:I304"/>
    <mergeCell ref="J304:K304"/>
    <mergeCell ref="H287:I287"/>
    <mergeCell ref="J287:K287"/>
    <mergeCell ref="J288:K288"/>
    <mergeCell ref="H288:I288"/>
    <mergeCell ref="H295:I295"/>
    <mergeCell ref="J295:K295"/>
    <mergeCell ref="H278:I278"/>
    <mergeCell ref="J278:K278"/>
    <mergeCell ref="J279:K279"/>
    <mergeCell ref="H279:I279"/>
    <mergeCell ref="H286:I286"/>
    <mergeCell ref="J286:K286"/>
    <mergeCell ref="J267:K267"/>
    <mergeCell ref="H267:I267"/>
    <mergeCell ref="H270:I270"/>
    <mergeCell ref="J270:K270"/>
    <mergeCell ref="H277:I277"/>
    <mergeCell ref="J277:K277"/>
    <mergeCell ref="J254:K254"/>
    <mergeCell ref="H254:I254"/>
    <mergeCell ref="H265:I265"/>
    <mergeCell ref="J265:K265"/>
    <mergeCell ref="H266:I266"/>
    <mergeCell ref="J266:K266"/>
    <mergeCell ref="H240:I240"/>
    <mergeCell ref="J240:K240"/>
    <mergeCell ref="H252:I252"/>
    <mergeCell ref="J252:K252"/>
    <mergeCell ref="H253:I253"/>
    <mergeCell ref="J253:K253"/>
    <mergeCell ref="H235:I235"/>
    <mergeCell ref="J235:K235"/>
    <mergeCell ref="H236:I236"/>
    <mergeCell ref="J236:K236"/>
    <mergeCell ref="J237:K237"/>
    <mergeCell ref="H237:I237"/>
    <mergeCell ref="H219:I219"/>
    <mergeCell ref="J219:K219"/>
    <mergeCell ref="J220:K220"/>
    <mergeCell ref="H220:I220"/>
    <mergeCell ref="H223:I223"/>
    <mergeCell ref="J223:K223"/>
    <mergeCell ref="J204:K204"/>
    <mergeCell ref="H204:I204"/>
    <mergeCell ref="H207:I207"/>
    <mergeCell ref="J207:K207"/>
    <mergeCell ref="H218:I218"/>
    <mergeCell ref="J218:K218"/>
    <mergeCell ref="H189:I189"/>
    <mergeCell ref="J189:K189"/>
    <mergeCell ref="H202:I202"/>
    <mergeCell ref="J202:K202"/>
    <mergeCell ref="H203:I203"/>
    <mergeCell ref="J203:K203"/>
    <mergeCell ref="H184:I184"/>
    <mergeCell ref="J184:K184"/>
    <mergeCell ref="H185:I185"/>
    <mergeCell ref="J185:K185"/>
    <mergeCell ref="J186:K186"/>
    <mergeCell ref="H186:I186"/>
    <mergeCell ref="J166:K166"/>
    <mergeCell ref="H166:I166"/>
    <mergeCell ref="J169:K169"/>
    <mergeCell ref="H169:I169"/>
    <mergeCell ref="A169:G169"/>
    <mergeCell ref="A173:K173"/>
    <mergeCell ref="J157:K157"/>
    <mergeCell ref="H157:I157"/>
    <mergeCell ref="H164:I164"/>
    <mergeCell ref="J164:K164"/>
    <mergeCell ref="H165:I165"/>
    <mergeCell ref="J165:K165"/>
    <mergeCell ref="J148:K148"/>
    <mergeCell ref="H148:I148"/>
    <mergeCell ref="H155:I155"/>
    <mergeCell ref="J155:K155"/>
    <mergeCell ref="H156:I156"/>
    <mergeCell ref="J156:K156"/>
    <mergeCell ref="J139:K139"/>
    <mergeCell ref="H139:I139"/>
    <mergeCell ref="H146:I146"/>
    <mergeCell ref="J146:K146"/>
    <mergeCell ref="H147:I147"/>
    <mergeCell ref="J147:K147"/>
    <mergeCell ref="H130:I130"/>
    <mergeCell ref="J130:K130"/>
    <mergeCell ref="H137:I137"/>
    <mergeCell ref="J137:K137"/>
    <mergeCell ref="H138:I138"/>
    <mergeCell ref="J138:K138"/>
    <mergeCell ref="H125:I125"/>
    <mergeCell ref="J125:K125"/>
    <mergeCell ref="H126:I126"/>
    <mergeCell ref="J126:K126"/>
    <mergeCell ref="J127:K127"/>
    <mergeCell ref="H127:I127"/>
    <mergeCell ref="H110:I110"/>
    <mergeCell ref="J110:K110"/>
    <mergeCell ref="H111:I111"/>
    <mergeCell ref="J111:K111"/>
    <mergeCell ref="J112:K112"/>
    <mergeCell ref="H112:I112"/>
    <mergeCell ref="H94:I94"/>
    <mergeCell ref="J94:K94"/>
    <mergeCell ref="J95:K95"/>
    <mergeCell ref="H95:I95"/>
    <mergeCell ref="H98:I98"/>
    <mergeCell ref="J98:K98"/>
    <mergeCell ref="H78:I78"/>
    <mergeCell ref="J78:K78"/>
    <mergeCell ref="J79:K79"/>
    <mergeCell ref="H79:I79"/>
    <mergeCell ref="H93:I93"/>
    <mergeCell ref="J93:K93"/>
    <mergeCell ref="J61:K61"/>
    <mergeCell ref="H61:I61"/>
    <mergeCell ref="H64:I64"/>
    <mergeCell ref="J64:K64"/>
    <mergeCell ref="H77:I77"/>
    <mergeCell ref="J77:K77"/>
    <mergeCell ref="J47:K47"/>
    <mergeCell ref="H47:I47"/>
    <mergeCell ref="H59:I59"/>
    <mergeCell ref="J59:K59"/>
    <mergeCell ref="H60:I60"/>
    <mergeCell ref="J60:K60"/>
    <mergeCell ref="A32:K32"/>
    <mergeCell ref="A36:K36"/>
    <mergeCell ref="A38:K38"/>
    <mergeCell ref="H45:I45"/>
    <mergeCell ref="J45:K45"/>
    <mergeCell ref="H46:I46"/>
    <mergeCell ref="J46:K46"/>
    <mergeCell ref="E24:H24"/>
    <mergeCell ref="E25:H25"/>
    <mergeCell ref="E26:H26"/>
    <mergeCell ref="E27:H27"/>
    <mergeCell ref="E28:H28"/>
    <mergeCell ref="E29:H29"/>
    <mergeCell ref="A15:K15"/>
    <mergeCell ref="A16:K16"/>
    <mergeCell ref="A18:K18"/>
    <mergeCell ref="E21:H21"/>
    <mergeCell ref="E22:H22"/>
    <mergeCell ref="E23:H23"/>
    <mergeCell ref="B7:E7"/>
    <mergeCell ref="G7:K7"/>
    <mergeCell ref="J2:K2"/>
    <mergeCell ref="A10:K10"/>
    <mergeCell ref="A11:K11"/>
    <mergeCell ref="A13:K13"/>
    <mergeCell ref="B3:E3"/>
    <mergeCell ref="G3:K3"/>
    <mergeCell ref="B4:E4"/>
    <mergeCell ref="G4:K4"/>
    <mergeCell ref="B6:E6"/>
    <mergeCell ref="G6:K6"/>
  </mergeCells>
  <pageMargins left="0.4" right="0.2" top="0.2" bottom="0.4" header="0.2" footer="0.2"/>
  <pageSetup paperSize="9" scale="70" fitToHeight="0" orientation="portrait" r:id="rId1"/>
  <headerFooter>
    <oddHeader>&amp;L&amp;8</oddHeader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CY12"/>
  <sheetViews>
    <sheetView workbookViewId="0"/>
  </sheetViews>
  <sheetFormatPr defaultColWidth="9.140625" defaultRowHeight="12.75"/>
  <cols>
    <col min="1" max="256" width="9.140625" customWidth="1"/>
  </cols>
  <sheetData>
    <row r="1" spans="1:10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58412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03">
      <c r="F12" t="str">
        <f>Source!F12</f>
        <v>Новый объект</v>
      </c>
      <c r="G12" t="str">
        <f>Source!G12</f>
        <v>Электромонтажные работы на объекте: г.Москва, ул. Большая Пироговская д.17+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15"/>
  <sheetViews>
    <sheetView zoomScaleNormal="100" workbookViewId="0">
      <selection activeCell="A19" sqref="A19:E19"/>
    </sheetView>
  </sheetViews>
  <sheetFormatPr defaultRowHeight="12.75"/>
  <cols>
    <col min="1" max="1" width="6.7109375" customWidth="1"/>
    <col min="2" max="2" width="75.7109375" customWidth="1"/>
    <col min="3" max="5" width="15.7109375" customWidth="1"/>
    <col min="30" max="30" width="114.7109375" hidden="1" customWidth="1"/>
    <col min="31" max="32" width="0" hidden="1" customWidth="1"/>
  </cols>
  <sheetData>
    <row r="1" spans="1:30">
      <c r="A1" s="9" t="str">
        <f>Source!B1</f>
        <v>Smeta.RU Flash  (495) 974-1589</v>
      </c>
    </row>
    <row r="2" spans="1:30" ht="14.25">
      <c r="C2" s="11"/>
      <c r="D2" s="11"/>
    </row>
    <row r="3" spans="1:30" ht="15">
      <c r="C3" s="11"/>
      <c r="D3" s="37" t="s">
        <v>459</v>
      </c>
    </row>
    <row r="4" spans="1:30" ht="15">
      <c r="C4" s="37"/>
      <c r="D4" s="37"/>
    </row>
    <row r="5" spans="1:30" ht="15">
      <c r="C5" s="76" t="s">
        <v>510</v>
      </c>
      <c r="D5" s="76"/>
    </row>
    <row r="6" spans="1:30" ht="15">
      <c r="C6" s="37"/>
      <c r="D6" s="37"/>
    </row>
    <row r="7" spans="1:30" ht="15">
      <c r="C7" s="76" t="s">
        <v>510</v>
      </c>
      <c r="D7" s="76"/>
    </row>
    <row r="8" spans="1:30" ht="15">
      <c r="C8" s="37"/>
      <c r="D8" s="37"/>
    </row>
    <row r="9" spans="1:30" ht="15">
      <c r="C9" s="37" t="s">
        <v>511</v>
      </c>
      <c r="D9" s="11"/>
    </row>
    <row r="10" spans="1:30" ht="14.25">
      <c r="A10" s="11"/>
      <c r="B10" s="11"/>
      <c r="C10" s="11"/>
      <c r="D10" s="11"/>
      <c r="E10" s="11"/>
    </row>
    <row r="11" spans="1:30" ht="15.75">
      <c r="A11" s="77" t="str">
        <f>CONCATENATE("Дефектный акт ", IF(Source!AN15&lt;&gt;"", Source!AN15," "))</f>
        <v xml:space="preserve">Дефектный акт  </v>
      </c>
      <c r="B11" s="77"/>
      <c r="C11" s="77"/>
      <c r="D11" s="77"/>
      <c r="E11" s="11"/>
    </row>
    <row r="12" spans="1:30" ht="30">
      <c r="A12" s="78" t="s">
        <v>575</v>
      </c>
      <c r="B12" s="78"/>
      <c r="C12" s="78"/>
      <c r="D12" s="78"/>
      <c r="E12" s="11"/>
      <c r="AD12" s="41" t="str">
        <f>CONCATENATE("На капитальный ремонт ", Source!G12)</f>
        <v>На капитальный ремонт Электромонтажные работы на объекте: г.Москва, ул. Большая Пироговская д.17+</v>
      </c>
    </row>
    <row r="13" spans="1:30" ht="14.25">
      <c r="A13" s="11"/>
      <c r="B13" s="11"/>
      <c r="C13" s="11"/>
      <c r="D13" s="11"/>
      <c r="E13" s="11"/>
    </row>
    <row r="14" spans="1:30" ht="15">
      <c r="A14" s="11"/>
      <c r="B14" s="40" t="s">
        <v>512</v>
      </c>
      <c r="C14" s="11"/>
      <c r="D14" s="11"/>
      <c r="E14" s="11"/>
    </row>
    <row r="15" spans="1:30" ht="15">
      <c r="A15" s="11"/>
      <c r="B15" s="40" t="s">
        <v>513</v>
      </c>
      <c r="C15" s="11"/>
      <c r="D15" s="11"/>
      <c r="E15" s="11"/>
    </row>
    <row r="16" spans="1:30" ht="15">
      <c r="A16" s="11"/>
      <c r="B16" s="40" t="s">
        <v>514</v>
      </c>
      <c r="C16" s="11"/>
      <c r="D16" s="11"/>
      <c r="E16" s="11"/>
    </row>
    <row r="17" spans="1:5" ht="28.5">
      <c r="A17" s="20" t="s">
        <v>474</v>
      </c>
      <c r="B17" s="20" t="s">
        <v>476</v>
      </c>
      <c r="C17" s="20" t="s">
        <v>515</v>
      </c>
      <c r="D17" s="20" t="s">
        <v>516</v>
      </c>
      <c r="E17" s="21" t="s">
        <v>517</v>
      </c>
    </row>
    <row r="18" spans="1:5" ht="14.25">
      <c r="A18" s="42">
        <v>1</v>
      </c>
      <c r="B18" s="42">
        <v>2</v>
      </c>
      <c r="C18" s="42">
        <v>3</v>
      </c>
      <c r="D18" s="42">
        <v>4</v>
      </c>
      <c r="E18" s="42">
        <v>5</v>
      </c>
    </row>
    <row r="19" spans="1:5" ht="16.5">
      <c r="A19" s="75"/>
      <c r="B19" s="75"/>
      <c r="C19" s="75"/>
      <c r="D19" s="75"/>
      <c r="E19" s="75"/>
    </row>
    <row r="20" spans="1:5" ht="16.5">
      <c r="A20" s="75" t="str">
        <f>CONCATENATE("Раздел: ", Source!G24)</f>
        <v>Раздел: Читальный зал (щитовое оборудование)</v>
      </c>
      <c r="B20" s="75"/>
      <c r="C20" s="75"/>
      <c r="D20" s="75"/>
      <c r="E20" s="75"/>
    </row>
    <row r="21" spans="1:5" ht="57">
      <c r="A21" s="47">
        <v>1</v>
      </c>
      <c r="B21" s="48" t="str">
        <f>Source!G28</f>
        <v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 (Демонтаж)</v>
      </c>
      <c r="C21" s="49" t="str">
        <f>Source!H28</f>
        <v>1  ШТ.</v>
      </c>
      <c r="D21" s="50">
        <f>Source!I28</f>
        <v>10</v>
      </c>
      <c r="E21" s="48"/>
    </row>
    <row r="22" spans="1:5" ht="28.5">
      <c r="A22" s="47">
        <v>2</v>
      </c>
      <c r="B22" s="48" t="str">
        <f>Source!G33</f>
        <v>Монтаж пультов и шкафов управления, шкафа (пульта) управления навесного, высотой, шириной, глубиной до 600х600х350 мм</v>
      </c>
      <c r="C22" s="49" t="str">
        <f>Source!H33</f>
        <v>1  ШТ.</v>
      </c>
      <c r="D22" s="50">
        <f>Source!I33</f>
        <v>1</v>
      </c>
      <c r="E22" s="48"/>
    </row>
    <row r="23" spans="1:5" ht="28.5">
      <c r="A23" s="47">
        <v>2.1</v>
      </c>
      <c r="B23" s="48" t="str">
        <f>Source!G34</f>
        <v>Болты строительные с гайками и шайбами (1297030000, 1610000000, 1620000000, 1680000000)</v>
      </c>
      <c r="C23" s="49" t="str">
        <f>Source!H34</f>
        <v>кг</v>
      </c>
      <c r="D23" s="50">
        <f>Source!I34</f>
        <v>0.1</v>
      </c>
      <c r="E23" s="48"/>
    </row>
    <row r="24" spans="1:5" ht="14.25">
      <c r="A24" s="47">
        <v>2.2000000000000002</v>
      </c>
      <c r="B24" s="48" t="str">
        <f>Source!G35</f>
        <v>Шкафы (пульты) управления навесные</v>
      </c>
      <c r="C24" s="49" t="str">
        <f>Source!H35</f>
        <v>шт.</v>
      </c>
      <c r="D24" s="50">
        <f>Source!I35</f>
        <v>1</v>
      </c>
      <c r="E24" s="48"/>
    </row>
    <row r="25" spans="1:5" ht="14.25">
      <c r="A25" s="47">
        <v>3</v>
      </c>
      <c r="B25" s="48" t="str">
        <f>Source!G36</f>
        <v>Щит металлический 24 модуля, IP -54</v>
      </c>
      <c r="C25" s="49" t="str">
        <f>Source!H36</f>
        <v>шт.</v>
      </c>
      <c r="D25" s="50">
        <f>Source!I36</f>
        <v>1</v>
      </c>
      <c r="E25" s="48"/>
    </row>
    <row r="26" spans="1:5" ht="42.75">
      <c r="A26" s="47">
        <v>4</v>
      </c>
      <c r="B26" s="48" t="str">
        <f>Source!G37</f>
        <v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</v>
      </c>
      <c r="C26" s="49" t="str">
        <f>Source!H37</f>
        <v>1  ШТ.</v>
      </c>
      <c r="D26" s="50">
        <f>Source!I37</f>
        <v>10</v>
      </c>
      <c r="E26" s="48"/>
    </row>
    <row r="27" spans="1:5" ht="14.25">
      <c r="A27" s="47">
        <v>4.0999999999999996</v>
      </c>
      <c r="B27" s="48" t="str">
        <f>Source!G38</f>
        <v>Болты строительные с гайками, оцинкованные, М10х100 мм</v>
      </c>
      <c r="C27" s="49" t="str">
        <f>Source!H38</f>
        <v>т</v>
      </c>
      <c r="D27" s="50">
        <f>Source!I38</f>
        <v>4.8999999999999998E-4</v>
      </c>
      <c r="E27" s="48"/>
    </row>
    <row r="28" spans="1:5" ht="14.25">
      <c r="A28" s="47">
        <v>4.2</v>
      </c>
      <c r="B28" s="48" t="str">
        <f>Source!G39</f>
        <v>Выключатели автоматические одно-, двух-, трехполюсные, на ток до 25 А</v>
      </c>
      <c r="C28" s="49" t="str">
        <f>Source!H39</f>
        <v>шт.</v>
      </c>
      <c r="D28" s="50">
        <f>Source!I39</f>
        <v>10</v>
      </c>
      <c r="E28" s="48"/>
    </row>
    <row r="29" spans="1:5" ht="28.5">
      <c r="A29" s="47">
        <v>4.3</v>
      </c>
      <c r="B29" s="48" t="str">
        <f>Source!G40</f>
        <v>Наконечник кабельный медный под опрессовку луженый, типа ТМЛ 16-6-6</v>
      </c>
      <c r="C29" s="49" t="str">
        <f>Source!H40</f>
        <v>шт.</v>
      </c>
      <c r="D29" s="50">
        <f>Source!I40</f>
        <v>61</v>
      </c>
      <c r="E29" s="48"/>
    </row>
    <row r="30" spans="1:5" ht="28.5">
      <c r="A30" s="47">
        <v>4.4000000000000004</v>
      </c>
      <c r="B30" s="48" t="str">
        <f>Source!G41</f>
        <v>Конструкции опорные индивидуальные сварные, из сталей мелких профилей</v>
      </c>
      <c r="C30" s="49" t="str">
        <f>Source!H41</f>
        <v>т</v>
      </c>
      <c r="D30" s="50">
        <f>Source!I41</f>
        <v>0.01</v>
      </c>
      <c r="E30" s="48"/>
    </row>
    <row r="31" spans="1:5" ht="28.5">
      <c r="A31" s="47">
        <v>5</v>
      </c>
      <c r="B31" s="48" t="str">
        <f>Source!G42</f>
        <v>Монтаж пускателя магнитного общего назначения отдельностоящего, устанавливаемого на конструкции на полу, на ток до 40 А</v>
      </c>
      <c r="C31" s="49" t="str">
        <f>Source!H42</f>
        <v>1  ШТ.</v>
      </c>
      <c r="D31" s="50">
        <f>Source!I42</f>
        <v>1</v>
      </c>
      <c r="E31" s="48"/>
    </row>
    <row r="32" spans="1:5" ht="14.25">
      <c r="A32" s="47">
        <v>5.0999999999999996</v>
      </c>
      <c r="B32" s="48" t="str">
        <f>Source!G43</f>
        <v>Болты строительные с гайками, оцинкованные, М10х100 мм</v>
      </c>
      <c r="C32" s="49" t="str">
        <f>Source!H43</f>
        <v>т</v>
      </c>
      <c r="D32" s="50">
        <f>Source!I43</f>
        <v>3.7300000000000001E-4</v>
      </c>
      <c r="E32" s="48"/>
    </row>
    <row r="33" spans="1:5" ht="28.5">
      <c r="A33" s="47">
        <v>5.2</v>
      </c>
      <c r="B33" s="48" t="str">
        <f>Source!G44</f>
        <v>Пускатели электромагнитные общего назначения отдельностоящие, на ток до 40 А</v>
      </c>
      <c r="C33" s="49" t="str">
        <f>Source!H44</f>
        <v>шт.</v>
      </c>
      <c r="D33" s="50">
        <f>Source!I44</f>
        <v>1</v>
      </c>
      <c r="E33" s="48"/>
    </row>
    <row r="34" spans="1:5" ht="14.25">
      <c r="A34" s="47">
        <v>5.3</v>
      </c>
      <c r="B34" s="48" t="str">
        <f>Source!G45</f>
        <v>Бирки маркировочные для кабелей и проводов</v>
      </c>
      <c r="C34" s="49" t="str">
        <f>Source!H45</f>
        <v>1000 шт.</v>
      </c>
      <c r="D34" s="50">
        <f>Source!I45</f>
        <v>6.1000000000000004E-3</v>
      </c>
      <c r="E34" s="48"/>
    </row>
    <row r="35" spans="1:5" ht="28.5">
      <c r="A35" s="47">
        <v>5.4</v>
      </c>
      <c r="B35" s="48" t="str">
        <f>Source!G46</f>
        <v>Конструкции опорные индивидуальные сварные, из сталей мелких профилей</v>
      </c>
      <c r="C35" s="49" t="str">
        <f>Source!H46</f>
        <v>т</v>
      </c>
      <c r="D35" s="50">
        <f>Source!I46</f>
        <v>4.0000000000000001E-3</v>
      </c>
      <c r="E35" s="48"/>
    </row>
    <row r="36" spans="1:5" ht="14.25">
      <c r="A36" s="47">
        <v>6</v>
      </c>
      <c r="B36" s="48" t="str">
        <f>Source!G47</f>
        <v>Модульный контактор Dekraft МК103-063A-230B-04 18091DEK</v>
      </c>
      <c r="C36" s="49" t="str">
        <f>Source!H47</f>
        <v>шт.</v>
      </c>
      <c r="D36" s="50">
        <f>Source!I47</f>
        <v>1</v>
      </c>
      <c r="E36" s="48"/>
    </row>
    <row r="37" spans="1:5" ht="42.75">
      <c r="A37" s="47">
        <v>7</v>
      </c>
      <c r="B37" s="48" t="str">
        <f>Source!G48</f>
        <v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кабелей и проводов сечением до 10 мм2</v>
      </c>
      <c r="C37" s="49" t="str">
        <f>Source!H48</f>
        <v>100 жил</v>
      </c>
      <c r="D37" s="50">
        <f>Source!I48</f>
        <v>0.4</v>
      </c>
      <c r="E37" s="48"/>
    </row>
    <row r="38" spans="1:5" ht="14.25">
      <c r="A38" s="47">
        <v>7.1</v>
      </c>
      <c r="B38" s="48" t="str">
        <f>Source!G49</f>
        <v>Наконечники кабельные</v>
      </c>
      <c r="C38" s="49" t="str">
        <f>Source!H49</f>
        <v>шт.</v>
      </c>
      <c r="D38" s="50">
        <f>Source!I49</f>
        <v>40.799999999999997</v>
      </c>
      <c r="E38" s="48"/>
    </row>
    <row r="39" spans="1:5" ht="42.75">
      <c r="A39" s="47">
        <v>8</v>
      </c>
      <c r="B39" s="48" t="str">
        <f>Source!G50</f>
        <v>Монтаж поста управления кнопочного общего назначения, устанавливаемого на конструкции на стене или колонне, с количеством элементов поста до 3</v>
      </c>
      <c r="C39" s="49" t="str">
        <f>Source!H50</f>
        <v>1 ПОСТ</v>
      </c>
      <c r="D39" s="50">
        <f>Source!I50</f>
        <v>1</v>
      </c>
      <c r="E39" s="48"/>
    </row>
    <row r="40" spans="1:5" ht="14.25">
      <c r="A40" s="47">
        <v>8.1</v>
      </c>
      <c r="B40" s="48" t="str">
        <f>Source!G51</f>
        <v>Болты строительные с гайками, оцинкованные, М10х100 мм</v>
      </c>
      <c r="C40" s="49" t="str">
        <f>Source!H51</f>
        <v>т</v>
      </c>
      <c r="D40" s="50">
        <f>Source!I51</f>
        <v>5.0000000000000002E-5</v>
      </c>
      <c r="E40" s="48"/>
    </row>
    <row r="41" spans="1:5" ht="28.5">
      <c r="A41" s="47">
        <v>8.1999999999999993</v>
      </c>
      <c r="B41" s="48" t="str">
        <f>Source!G52</f>
        <v>Посты управления кнопочные общего назначения, с количеством элементов поста до 3</v>
      </c>
      <c r="C41" s="49" t="str">
        <f>Source!H52</f>
        <v>шт.</v>
      </c>
      <c r="D41" s="50">
        <f>Source!I52</f>
        <v>1</v>
      </c>
      <c r="E41" s="48"/>
    </row>
    <row r="42" spans="1:5" ht="14.25">
      <c r="A42" s="47">
        <v>8.3000000000000007</v>
      </c>
      <c r="B42" s="48" t="str">
        <f>Source!G53</f>
        <v>Бирки маркировочные для кабелей и проводов</v>
      </c>
      <c r="C42" s="49" t="str">
        <f>Source!H53</f>
        <v>1000 шт.</v>
      </c>
      <c r="D42" s="50">
        <f>Source!I53</f>
        <v>6.1000000000000004E-3</v>
      </c>
      <c r="E42" s="48"/>
    </row>
    <row r="43" spans="1:5" ht="28.5">
      <c r="A43" s="47">
        <v>8.4</v>
      </c>
      <c r="B43" s="48" t="str">
        <f>Source!G54</f>
        <v>Конструкции опорные индивидуальные сварные, из сталей мелких профилей</v>
      </c>
      <c r="C43" s="49" t="str">
        <f>Source!H54</f>
        <v>т</v>
      </c>
      <c r="D43" s="50">
        <f>Source!I54</f>
        <v>2E-3</v>
      </c>
      <c r="E43" s="48"/>
    </row>
    <row r="44" spans="1:5" ht="14.25">
      <c r="A44" s="47">
        <v>9</v>
      </c>
      <c r="B44" s="48" t="str">
        <f>Source!G55</f>
        <v>Кнопочный пост</v>
      </c>
      <c r="C44" s="49" t="str">
        <f>Source!H55</f>
        <v>шт.</v>
      </c>
      <c r="D44" s="50">
        <f>Source!I55</f>
        <v>1</v>
      </c>
      <c r="E44" s="48"/>
    </row>
    <row r="45" spans="1:5" ht="28.5">
      <c r="A45" s="47">
        <v>10</v>
      </c>
      <c r="B45" s="48" t="str">
        <f>Source!G56</f>
        <v>Выключатель трехполюсный, с электромагнитным, тепловым или комбинированным расцепителем, номинальный ток до 50А</v>
      </c>
      <c r="C45" s="49" t="str">
        <f>Source!H56</f>
        <v>1  ШТ.</v>
      </c>
      <c r="D45" s="50">
        <f>Source!I56</f>
        <v>11</v>
      </c>
      <c r="E45" s="48"/>
    </row>
    <row r="46" spans="1:5" ht="57">
      <c r="A46" s="47">
        <v>11</v>
      </c>
      <c r="B46" s="48" t="str">
        <f>Source!G57</f>
        <v>Измерение сопротивления изоляции мегаомметром кабельных и других линий напряжением до 1 кВ, предназначенных для передачи электроэнергии к распределительным устройствам, щитам, шкафам и коммутационным аппаратам</v>
      </c>
      <c r="C46" s="49" t="str">
        <f>Source!H57</f>
        <v>1 измерение</v>
      </c>
      <c r="D46" s="50">
        <f>Source!I57</f>
        <v>3</v>
      </c>
      <c r="E46" s="48"/>
    </row>
    <row r="47" spans="1:5" ht="28.5">
      <c r="A47" s="47">
        <v>12</v>
      </c>
      <c r="B47" s="48" t="str">
        <f>Source!G58</f>
        <v>Проверка наличия цепи между заземлителями и заземленными элементами</v>
      </c>
      <c r="C47" s="49" t="str">
        <f>Source!H58</f>
        <v>1 ТОЧКА</v>
      </c>
      <c r="D47" s="50">
        <f>Source!I58</f>
        <v>11</v>
      </c>
      <c r="E47" s="48"/>
    </row>
    <row r="48" spans="1:5" ht="42.75">
      <c r="A48" s="47">
        <v>13</v>
      </c>
      <c r="B48" s="48" t="str">
        <f>Source!G59</f>
        <v>Снятие характеристик для определения напряжения прикосновения в точках, указанных проектом</v>
      </c>
      <c r="C48" s="49" t="str">
        <f>Source!H59</f>
        <v>1 точка прикосновения</v>
      </c>
      <c r="D48" s="50">
        <f>Source!I59</f>
        <v>3</v>
      </c>
      <c r="E48" s="48"/>
    </row>
    <row r="49" spans="1:5" ht="16.5">
      <c r="A49" s="75" t="str">
        <f>CONCATENATE("Раздел: ", Source!G91)</f>
        <v>Раздел: Установка воздушной завесы</v>
      </c>
      <c r="B49" s="75"/>
      <c r="C49" s="75"/>
      <c r="D49" s="75"/>
      <c r="E49" s="75"/>
    </row>
    <row r="50" spans="1:5" ht="14.25">
      <c r="A50" s="47">
        <v>14</v>
      </c>
      <c r="B50" s="48" t="str">
        <f>Source!G95</f>
        <v>Монтаж розетки штепсельной трехполюсной</v>
      </c>
      <c r="C50" s="49" t="str">
        <f>Source!H95</f>
        <v>100 шт.</v>
      </c>
      <c r="D50" s="50">
        <f>Source!I95</f>
        <v>0.01</v>
      </c>
      <c r="E50" s="48"/>
    </row>
    <row r="51" spans="1:5" ht="14.25">
      <c r="A51" s="47">
        <v>14.1</v>
      </c>
      <c r="B51" s="48" t="str">
        <f>Source!G96</f>
        <v>Розетки штепсельные трехполюсные</v>
      </c>
      <c r="C51" s="49" t="str">
        <f>Source!H96</f>
        <v>шт.</v>
      </c>
      <c r="D51" s="50">
        <f>Source!I96</f>
        <v>1.02</v>
      </c>
      <c r="E51" s="48"/>
    </row>
    <row r="52" spans="1:5" ht="14.25">
      <c r="A52" s="47">
        <v>15</v>
      </c>
      <c r="B52" s="48" t="str">
        <f>Source!G97</f>
        <v>Розетка КЭАЗ 114-16А-6h-380AC-3P+PE-IP44 222754</v>
      </c>
      <c r="C52" s="49" t="str">
        <f>Source!H97</f>
        <v>шт.</v>
      </c>
      <c r="D52" s="50">
        <f>Source!I97</f>
        <v>1</v>
      </c>
      <c r="E52" s="48"/>
    </row>
    <row r="53" spans="1:5" ht="42.75">
      <c r="A53" s="47">
        <v>16</v>
      </c>
      <c r="B53" s="48" t="str">
        <f>Source!G98</f>
        <v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</v>
      </c>
      <c r="C53" s="49" t="str">
        <f>Source!H98</f>
        <v>1  ШТ.</v>
      </c>
      <c r="D53" s="50">
        <f>Source!I98</f>
        <v>1</v>
      </c>
      <c r="E53" s="48"/>
    </row>
    <row r="54" spans="1:5" ht="14.25">
      <c r="A54" s="47">
        <v>16.100000000000001</v>
      </c>
      <c r="B54" s="48" t="str">
        <f>Source!G99</f>
        <v>Болты строительные с гайками, оцинкованные, М10х100 мм</v>
      </c>
      <c r="C54" s="49" t="str">
        <f>Source!H99</f>
        <v>т</v>
      </c>
      <c r="D54" s="50">
        <f>Source!I99</f>
        <v>4.8999999999999998E-5</v>
      </c>
      <c r="E54" s="48"/>
    </row>
    <row r="55" spans="1:5" ht="14.25">
      <c r="A55" s="47">
        <v>16.2</v>
      </c>
      <c r="B55" s="48" t="str">
        <f>Source!G100</f>
        <v>Выключатели автоматические одно-, двух-, трехполюсные, на ток до 25 А</v>
      </c>
      <c r="C55" s="49" t="str">
        <f>Source!H100</f>
        <v>шт.</v>
      </c>
      <c r="D55" s="50">
        <f>Source!I100</f>
        <v>1</v>
      </c>
      <c r="E55" s="48"/>
    </row>
    <row r="56" spans="1:5" ht="14.25">
      <c r="A56" s="47">
        <v>16.3</v>
      </c>
      <c r="B56" s="48" t="str">
        <f>Source!G101</f>
        <v>Наконечники кабельные</v>
      </c>
      <c r="C56" s="49" t="str">
        <f>Source!H101</f>
        <v>шт.</v>
      </c>
      <c r="D56" s="50">
        <f>Source!I101</f>
        <v>6.1</v>
      </c>
      <c r="E56" s="48"/>
    </row>
    <row r="57" spans="1:5" ht="28.5">
      <c r="A57" s="47">
        <v>16.399999999999999</v>
      </c>
      <c r="B57" s="48" t="str">
        <f>Source!G102</f>
        <v>Конструкции опорные индивидуальные сварные, из сталей мелких профилей</v>
      </c>
      <c r="C57" s="49" t="str">
        <f>Source!H102</f>
        <v>т</v>
      </c>
      <c r="D57" s="50">
        <f>Source!I102</f>
        <v>1E-3</v>
      </c>
      <c r="E57" s="48"/>
    </row>
    <row r="58" spans="1:5" ht="14.25">
      <c r="A58" s="47">
        <v>17</v>
      </c>
      <c r="B58" s="48" t="str">
        <f>Source!G103</f>
        <v>Автоматический выключатель (АВ) DEKraft ВА-101, 3 Р, 25А</v>
      </c>
      <c r="C58" s="49" t="str">
        <f>Source!H103</f>
        <v>шт.</v>
      </c>
      <c r="D58" s="50">
        <f>Source!I103</f>
        <v>1</v>
      </c>
      <c r="E58" s="48"/>
    </row>
    <row r="59" spans="1:5" ht="14.25">
      <c r="A59" s="47">
        <v>18</v>
      </c>
      <c r="B59" s="48" t="str">
        <f>Source!G104</f>
        <v>Прокладка пластикового кабель-канала по кирпичному основанию</v>
      </c>
      <c r="C59" s="49" t="str">
        <f>Source!H104</f>
        <v>100 м</v>
      </c>
      <c r="D59" s="50">
        <f>Source!I104</f>
        <v>0.3</v>
      </c>
      <c r="E59" s="48"/>
    </row>
    <row r="60" spans="1:5" ht="14.25">
      <c r="A60" s="47">
        <v>19</v>
      </c>
      <c r="B60" s="48" t="str">
        <f>Source!G112</f>
        <v>Кабель-канал, размер 40х19 мм</v>
      </c>
      <c r="C60" s="49" t="str">
        <f>Source!H112</f>
        <v>м</v>
      </c>
      <c r="D60" s="50">
        <f>Source!I112</f>
        <v>30</v>
      </c>
      <c r="E60" s="48"/>
    </row>
    <row r="61" spans="1:5" ht="14.25">
      <c r="A61" s="47">
        <v>20</v>
      </c>
      <c r="B61" s="48" t="str">
        <f>Source!G113</f>
        <v>Прокладка в коробах провода сечением до 35 мм2</v>
      </c>
      <c r="C61" s="49" t="str">
        <f>Source!H113</f>
        <v>100 м</v>
      </c>
      <c r="D61" s="50">
        <f>Source!I113</f>
        <v>0.31</v>
      </c>
      <c r="E61" s="48"/>
    </row>
    <row r="62" spans="1:5" ht="14.25">
      <c r="A62" s="47">
        <v>20.100000000000001</v>
      </c>
      <c r="B62" s="48" t="str">
        <f>Source!G114</f>
        <v>Провода (марка и сечение по проекту)</v>
      </c>
      <c r="C62" s="49" t="str">
        <f>Source!H114</f>
        <v>км</v>
      </c>
      <c r="D62" s="50">
        <f>Source!I114</f>
        <v>3.1620000000000002E-2</v>
      </c>
      <c r="E62" s="48"/>
    </row>
    <row r="63" spans="1:5" ht="14.25">
      <c r="A63" s="47">
        <v>21</v>
      </c>
      <c r="B63" s="48" t="str">
        <f>Source!G115</f>
        <v>Кабель ВВГнг -LS 4х5</v>
      </c>
      <c r="C63" s="49" t="str">
        <f>Source!H115</f>
        <v>м</v>
      </c>
      <c r="D63" s="50">
        <f>Source!I115</f>
        <v>31.62</v>
      </c>
      <c r="E63" s="48"/>
    </row>
    <row r="64" spans="1:5" ht="42.75">
      <c r="A64" s="47">
        <v>22</v>
      </c>
      <c r="B64" s="48" t="str">
        <f>Source!G116</f>
        <v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кабелей и проводов сечением до 10 мм2</v>
      </c>
      <c r="C64" s="49" t="str">
        <f>Source!H116</f>
        <v>100 жил</v>
      </c>
      <c r="D64" s="50">
        <f>Source!I116</f>
        <v>0.1</v>
      </c>
      <c r="E64" s="48"/>
    </row>
    <row r="65" spans="1:5" ht="14.25">
      <c r="A65" s="47">
        <v>22.1</v>
      </c>
      <c r="B65" s="48" t="str">
        <f>Source!G117</f>
        <v>Наконечники кабельные</v>
      </c>
      <c r="C65" s="49" t="str">
        <f>Source!H117</f>
        <v>шт.</v>
      </c>
      <c r="D65" s="50">
        <f>Source!I117</f>
        <v>10.199999999999999</v>
      </c>
      <c r="E65" s="48"/>
    </row>
    <row r="66" spans="1:5" ht="14.25">
      <c r="A66" s="47">
        <v>23</v>
      </c>
      <c r="B66" s="48" t="str">
        <f>Source!G118</f>
        <v>Установка агрегатов воздушно-отопительных массой до 0,25 т</v>
      </c>
      <c r="C66" s="49" t="str">
        <f>Source!H118</f>
        <v>1 агрегат</v>
      </c>
      <c r="D66" s="50">
        <f>Source!I118</f>
        <v>1</v>
      </c>
      <c r="E66" s="48"/>
    </row>
    <row r="67" spans="1:5" ht="14.25">
      <c r="A67" s="47">
        <v>23.1</v>
      </c>
      <c r="B67" s="48" t="str">
        <f>Source!G119</f>
        <v>Агрегаты воздушно-отопительные</v>
      </c>
      <c r="C67" s="49" t="str">
        <f>Source!H119</f>
        <v>шт.</v>
      </c>
      <c r="D67" s="50">
        <f>Source!I119</f>
        <v>1</v>
      </c>
      <c r="E67" s="48"/>
    </row>
    <row r="68" spans="1:5" ht="14.25">
      <c r="A68" s="47">
        <v>24</v>
      </c>
      <c r="B68" s="48" t="str">
        <f>Source!G120</f>
        <v>Тепловая завеса Ballu BHC-L10T05 НС-1248461</v>
      </c>
      <c r="C68" s="49" t="str">
        <f>Source!H120</f>
        <v>шт.</v>
      </c>
      <c r="D68" s="50">
        <f>Source!I120</f>
        <v>1</v>
      </c>
      <c r="E68" s="48"/>
    </row>
    <row r="69" spans="1:5" ht="28.5">
      <c r="A69" s="47">
        <v>25</v>
      </c>
      <c r="B69" s="48" t="str">
        <f>Source!G121</f>
        <v>Выключатель трехполюсный, с электромагнитным, тепловым или комбинированным расцепителем, номинальный ток до 50А</v>
      </c>
      <c r="C69" s="49" t="str">
        <f>Source!H121</f>
        <v>1  ШТ.</v>
      </c>
      <c r="D69" s="50">
        <f>Source!I121</f>
        <v>1</v>
      </c>
      <c r="E69" s="48"/>
    </row>
    <row r="70" spans="1:5" ht="57">
      <c r="A70" s="47">
        <v>26</v>
      </c>
      <c r="B70" s="48" t="str">
        <f>Source!G122</f>
        <v>Измерение сопротивления изоляции мегаомметром кабельных и других линий напряжением до 1 кВ, предназначенных для передачи электроэнергии к распределительным устройствам, щитам, шкафам и коммутационным аппаратам</v>
      </c>
      <c r="C70" s="49" t="str">
        <f>Source!H122</f>
        <v>1 измерение</v>
      </c>
      <c r="D70" s="50">
        <f>Source!I122</f>
        <v>3</v>
      </c>
      <c r="E70" s="48"/>
    </row>
    <row r="71" spans="1:5" ht="28.5">
      <c r="A71" s="47">
        <v>27</v>
      </c>
      <c r="B71" s="48" t="str">
        <f>Source!G123</f>
        <v>Проверка наличия цепи между заземлителями и заземленными элементами</v>
      </c>
      <c r="C71" s="49" t="str">
        <f>Source!H123</f>
        <v>1 ТОЧКА</v>
      </c>
      <c r="D71" s="50">
        <f>Source!I123</f>
        <v>2</v>
      </c>
      <c r="E71" s="48"/>
    </row>
    <row r="72" spans="1:5" ht="42.75">
      <c r="A72" s="47">
        <v>28</v>
      </c>
      <c r="B72" s="48" t="str">
        <f>Source!G124</f>
        <v>Снятие характеристик для определения напряжения прикосновения в точках, указанных проектом</v>
      </c>
      <c r="C72" s="49" t="str">
        <f>Source!H124</f>
        <v>1 точка прикосновения</v>
      </c>
      <c r="D72" s="50">
        <f>Source!I124</f>
        <v>1</v>
      </c>
      <c r="E72" s="48"/>
    </row>
    <row r="73" spans="1:5" ht="16.5">
      <c r="A73" s="75" t="str">
        <f>CONCATENATE("Раздел: ", Source!G156)</f>
        <v>Раздел: Освещение (коридор)</v>
      </c>
      <c r="B73" s="75"/>
      <c r="C73" s="75"/>
      <c r="D73" s="75"/>
      <c r="E73" s="75"/>
    </row>
    <row r="74" spans="1:5" ht="42.75">
      <c r="A74" s="47">
        <v>29</v>
      </c>
      <c r="B74" s="48" t="str">
        <f>Source!G160</f>
        <v>Монтаж выключателей установочных автоматических (автоматов) или неавтоматических, автомата одно-, двух-, трехполюсного, устанавливаемого на конструкции на стене или колонне, на ток до 25 А</v>
      </c>
      <c r="C74" s="49" t="str">
        <f>Source!H160</f>
        <v>1  ШТ.</v>
      </c>
      <c r="D74" s="50">
        <f>Source!I160</f>
        <v>1</v>
      </c>
      <c r="E74" s="48"/>
    </row>
    <row r="75" spans="1:5" ht="14.25">
      <c r="A75" s="47">
        <v>29.1</v>
      </c>
      <c r="B75" s="48" t="str">
        <f>Source!G161</f>
        <v>Болты строительные с гайками, оцинкованные, М10х100 мм</v>
      </c>
      <c r="C75" s="49" t="str">
        <f>Source!H161</f>
        <v>т</v>
      </c>
      <c r="D75" s="50">
        <f>Source!I161</f>
        <v>4.8999999999999998E-5</v>
      </c>
      <c r="E75" s="48"/>
    </row>
    <row r="76" spans="1:5" ht="28.5">
      <c r="A76" s="47">
        <v>29.2</v>
      </c>
      <c r="B76" s="48" t="str">
        <f>Source!G162</f>
        <v>Выключатель автоматический, однополюсный, типа S201, номинальный ток от 10 до 25 А</v>
      </c>
      <c r="C76" s="49" t="str">
        <f>Source!H162</f>
        <v>шт.</v>
      </c>
      <c r="D76" s="50">
        <f>Source!I162</f>
        <v>1</v>
      </c>
      <c r="E76" s="48"/>
    </row>
    <row r="77" spans="1:5" ht="14.25">
      <c r="A77" s="47">
        <v>29.3</v>
      </c>
      <c r="B77" s="48" t="str">
        <f>Source!G163</f>
        <v>Наконечники кабельные</v>
      </c>
      <c r="C77" s="49" t="str">
        <f>Source!H163</f>
        <v>шт.</v>
      </c>
      <c r="D77" s="50">
        <f>Source!I163</f>
        <v>6.1</v>
      </c>
      <c r="E77" s="48"/>
    </row>
    <row r="78" spans="1:5" ht="28.5">
      <c r="A78" s="47">
        <v>29.4</v>
      </c>
      <c r="B78" s="48" t="str">
        <f>Source!G164</f>
        <v>Конструкции опорные индивидуальные сварные, из сталей мелких профилей</v>
      </c>
      <c r="C78" s="49" t="str">
        <f>Source!H164</f>
        <v>т</v>
      </c>
      <c r="D78" s="50">
        <f>Source!I164</f>
        <v>1E-3</v>
      </c>
      <c r="E78" s="48"/>
    </row>
    <row r="79" spans="1:5" ht="28.5">
      <c r="A79" s="47">
        <v>30</v>
      </c>
      <c r="B79" s="48" t="str">
        <f>Source!G165</f>
        <v>Прокладка металлического штампованного лотка по установленным конструкциям, ширина лотка до 200 мм</v>
      </c>
      <c r="C79" s="49" t="str">
        <f>Source!H165</f>
        <v>1 Т</v>
      </c>
      <c r="D79" s="50">
        <f>Source!I165</f>
        <v>1.9699999999999999E-2</v>
      </c>
      <c r="E79" s="48"/>
    </row>
    <row r="80" spans="1:5" ht="28.5">
      <c r="A80" s="47">
        <v>31</v>
      </c>
      <c r="B80" s="48" t="str">
        <f>Source!G168</f>
        <v>Лоток кабельный, оцинкованный, перфорированный, простой, без крышки, типа PNK-100</v>
      </c>
      <c r="C80" s="49" t="str">
        <f>Source!H168</f>
        <v>м</v>
      </c>
      <c r="D80" s="50">
        <f>Source!I168</f>
        <v>10</v>
      </c>
      <c r="E80" s="48"/>
    </row>
    <row r="81" spans="1:5" ht="28.5">
      <c r="A81" s="47">
        <v>32</v>
      </c>
      <c r="B81" s="48" t="str">
        <f>Source!G169</f>
        <v>Установка крышек металлических на лотки металлические перфорированные и неперфорированные массой 1 м до 2 кг</v>
      </c>
      <c r="C81" s="49" t="str">
        <f>Source!H169</f>
        <v>100 М ТРАССЫ</v>
      </c>
      <c r="D81" s="50">
        <f>Source!I169</f>
        <v>0.1</v>
      </c>
      <c r="E81" s="48"/>
    </row>
    <row r="82" spans="1:5" ht="14.25">
      <c r="A82" s="47">
        <v>32.1</v>
      </c>
      <c r="B82" s="48" t="str">
        <f>Source!G171</f>
        <v>Проводники защитные заземляющие (1844211000)</v>
      </c>
      <c r="C82" s="49" t="str">
        <f>Source!H171</f>
        <v>шт.</v>
      </c>
      <c r="D82" s="50">
        <f>Source!I171</f>
        <v>1.3340000000000001</v>
      </c>
      <c r="E82" s="48"/>
    </row>
    <row r="83" spans="1:5" ht="14.25">
      <c r="A83" s="47">
        <v>32.200000000000003</v>
      </c>
      <c r="B83" s="48" t="str">
        <f>Source!G172</f>
        <v>Винты с гайками и шайбами (1680000000)</v>
      </c>
      <c r="C83" s="49" t="str">
        <f>Source!H172</f>
        <v>кг</v>
      </c>
      <c r="D83" s="50">
        <f>Source!I172</f>
        <v>8.5999999999999993E-2</v>
      </c>
      <c r="E83" s="48"/>
    </row>
    <row r="84" spans="1:5" ht="28.5">
      <c r="A84" s="47">
        <v>33</v>
      </c>
      <c r="B84" s="48" t="str">
        <f>Source!G173</f>
        <v>Крышка для лотка замкового, стальная, оцинкованная, с заземлением, толщина стали 0,6 мм, размер 3000х100х15 мм</v>
      </c>
      <c r="C84" s="49" t="str">
        <f>Source!H173</f>
        <v>шт.</v>
      </c>
      <c r="D84" s="50">
        <f>Source!I173</f>
        <v>4</v>
      </c>
      <c r="E84" s="48"/>
    </row>
    <row r="85" spans="1:5" ht="28.5">
      <c r="A85" s="47">
        <v>34</v>
      </c>
      <c r="B85" s="48" t="str">
        <f>Source!G174</f>
        <v>Монтаж опорных конструкций подвесок и хомутов для крепления трубопроводов внутри зданий и сооружений (Для прокладки лотков)</v>
      </c>
      <c r="C85" s="49" t="str">
        <f>Source!H174</f>
        <v>1 т конструкций</v>
      </c>
      <c r="D85" s="50">
        <f>Source!I174</f>
        <v>3.6800000000000001E-3</v>
      </c>
      <c r="E85" s="48"/>
    </row>
    <row r="86" spans="1:5" ht="14.25">
      <c r="A86" s="47">
        <v>34.1</v>
      </c>
      <c r="B86" s="48" t="str">
        <f>Source!G175</f>
        <v>Стальные опорные конструкции под трубопроводы</v>
      </c>
      <c r="C86" s="49" t="str">
        <f>Source!H175</f>
        <v>т</v>
      </c>
      <c r="D86" s="50">
        <f>Source!I175</f>
        <v>3.6800000000000001E-3</v>
      </c>
      <c r="E86" s="48"/>
    </row>
    <row r="87" spans="1:5" ht="28.5">
      <c r="A87" s="47">
        <v>35</v>
      </c>
      <c r="B87" s="48" t="str">
        <f>Source!G176</f>
        <v>Шпилька анкерная, стальная, резьбовая, оцинкованная, в комплекте с шайбой и гайкой, М12x110 мм (М8)</v>
      </c>
      <c r="C87" s="49" t="str">
        <f>Source!H176</f>
        <v>шт.</v>
      </c>
      <c r="D87" s="50">
        <f>Source!I176</f>
        <v>8</v>
      </c>
      <c r="E87" s="48"/>
    </row>
    <row r="88" spans="1:5" ht="14.25">
      <c r="A88" s="47">
        <v>36</v>
      </c>
      <c r="B88" s="48" t="str">
        <f>Source!G177</f>
        <v>Прокладка пластикового кабель-канала по кирпичному основанию</v>
      </c>
      <c r="C88" s="49" t="str">
        <f>Source!H177</f>
        <v>100 м</v>
      </c>
      <c r="D88" s="50">
        <f>Source!I177</f>
        <v>0.25</v>
      </c>
      <c r="E88" s="48"/>
    </row>
    <row r="89" spans="1:5" ht="14.25">
      <c r="A89" s="47">
        <v>37</v>
      </c>
      <c r="B89" s="48" t="str">
        <f>Source!G185</f>
        <v>Прокладка в коробах провода сечением до 35 мм2</v>
      </c>
      <c r="C89" s="49" t="str">
        <f>Source!H185</f>
        <v>100 м</v>
      </c>
      <c r="D89" s="50">
        <f>Source!I185</f>
        <v>0.25</v>
      </c>
      <c r="E89" s="48"/>
    </row>
    <row r="90" spans="1:5" ht="14.25">
      <c r="A90" s="47">
        <v>37.1</v>
      </c>
      <c r="B90" s="48" t="str">
        <f>Source!G186</f>
        <v>Провода (марка и сечение по проекту)</v>
      </c>
      <c r="C90" s="49" t="str">
        <f>Source!H186</f>
        <v>км</v>
      </c>
      <c r="D90" s="50">
        <f>Source!I186</f>
        <v>2.5499999999999998E-2</v>
      </c>
      <c r="E90" s="48"/>
    </row>
    <row r="91" spans="1:5" ht="14.25">
      <c r="A91" s="47">
        <v>38</v>
      </c>
      <c r="B91" s="48" t="str">
        <f>Source!G187</f>
        <v>Прокладка в коробах провода сечением до 6 мм2</v>
      </c>
      <c r="C91" s="49" t="str">
        <f>Source!H187</f>
        <v>100 м</v>
      </c>
      <c r="D91" s="50">
        <f>Source!I187</f>
        <v>0.5</v>
      </c>
      <c r="E91" s="48"/>
    </row>
    <row r="92" spans="1:5" ht="14.25">
      <c r="A92" s="47">
        <v>38.1</v>
      </c>
      <c r="B92" s="48" t="str">
        <f>Source!G188</f>
        <v>Провода (марка и сечение по проекту)</v>
      </c>
      <c r="C92" s="49" t="str">
        <f>Source!H188</f>
        <v>км</v>
      </c>
      <c r="D92" s="50">
        <f>Source!I188</f>
        <v>5.1499999999999997E-2</v>
      </c>
      <c r="E92" s="48"/>
    </row>
    <row r="93" spans="1:5" ht="57">
      <c r="A93" s="47">
        <v>39</v>
      </c>
      <c r="B93" s="48" t="str">
        <f>Source!G189</f>
        <v>Кабель силовой с медными жилами, с изоляцией и оболочкой из ПВХ композиций пониженной пожароопасности, с пониженным дымо- и газовыделением, марка ВВГнг(А)-LS, напряжение 1000 В, число жил и сечение 3х1,5 мм2</v>
      </c>
      <c r="C93" s="49" t="str">
        <f>Source!H189</f>
        <v>км</v>
      </c>
      <c r="D93" s="50">
        <f>Source!I189</f>
        <v>5.1499999999999997E-2</v>
      </c>
      <c r="E93" s="48"/>
    </row>
    <row r="94" spans="1:5" ht="28.5">
      <c r="A94" s="47">
        <v>40</v>
      </c>
      <c r="B94" s="48" t="str">
        <f>Source!G190</f>
        <v>Установка светильников светодиодных накладных линейных длиной до 3 м, устанавливаемых внутри здания</v>
      </c>
      <c r="C94" s="49" t="str">
        <f>Source!H190</f>
        <v>100 шт.</v>
      </c>
      <c r="D94" s="50">
        <f>Source!I190</f>
        <v>0.05</v>
      </c>
      <c r="E94" s="48"/>
    </row>
    <row r="95" spans="1:5" ht="14.25">
      <c r="A95" s="47">
        <v>40.1</v>
      </c>
      <c r="B95" s="48" t="str">
        <f>Source!G191</f>
        <v>Светильники светодиодные потолочные накладные линейные</v>
      </c>
      <c r="C95" s="49" t="str">
        <f>Source!H191</f>
        <v>шт.</v>
      </c>
      <c r="D95" s="50">
        <f>Source!I191</f>
        <v>5</v>
      </c>
      <c r="E95" s="48"/>
    </row>
    <row r="96" spans="1:5" ht="71.25">
      <c r="A96" s="47">
        <v>41</v>
      </c>
      <c r="B96" s="48" t="str">
        <f>Source!G192</f>
        <v>Светильник светодиодный потолочный накладной, световой поток 7910 лм, цветовая температура от 3500 до 4500 К, мощность 63 Вт, степень защиты IP65, с микро-призматическим экраном, алюминиевый корпус с анодированным покрытием, размеры 1189х76х56 мм, для общественных зданий и наружного освещения</v>
      </c>
      <c r="C96" s="49" t="str">
        <f>Source!H192</f>
        <v>шт.</v>
      </c>
      <c r="D96" s="50">
        <f>Source!I192</f>
        <v>5</v>
      </c>
      <c r="E96" s="48"/>
    </row>
    <row r="97" spans="1:5" ht="14.25">
      <c r="A97" s="47">
        <v>42</v>
      </c>
      <c r="B97" s="48" t="str">
        <f>Source!G193</f>
        <v>Монтаж коробки ответвительной для кабельных линий</v>
      </c>
      <c r="C97" s="49" t="str">
        <f>Source!H193</f>
        <v>100 шт.</v>
      </c>
      <c r="D97" s="50">
        <f>Source!I193</f>
        <v>0.05</v>
      </c>
      <c r="E97" s="48"/>
    </row>
    <row r="98" spans="1:5" ht="28.5">
      <c r="A98" s="47">
        <v>42.1</v>
      </c>
      <c r="B98" s="48" t="str">
        <f>Source!G194</f>
        <v>Коробка распределительная, пластиковая, открытой проводки, 6 выводов, с сальниками, степень защиты IP55, размеры 100х100х55 мм</v>
      </c>
      <c r="C98" s="49" t="str">
        <f>Source!H194</f>
        <v>шт.</v>
      </c>
      <c r="D98" s="50">
        <f>Source!I194</f>
        <v>5</v>
      </c>
      <c r="E98" s="48"/>
    </row>
    <row r="99" spans="1:5" ht="42.75">
      <c r="A99" s="47">
        <v>43</v>
      </c>
      <c r="B99" s="48" t="str">
        <f>Source!G195</f>
        <v>Присоединение проводов, жил электрических кабелей и заземляющих проводников сечением 2,5 мм2 к приборам и средствам автоматизации под винт с оконцеванием наконечником</v>
      </c>
      <c r="C99" s="49" t="str">
        <f>Source!H195</f>
        <v>100 концов</v>
      </c>
      <c r="D99" s="50">
        <f>Source!I195</f>
        <v>0.15</v>
      </c>
      <c r="E99" s="48"/>
    </row>
    <row r="100" spans="1:5" ht="42.75">
      <c r="A100" s="47">
        <v>44</v>
      </c>
      <c r="B100" s="48" t="str">
        <f>Source!G196</f>
        <v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кабелей и проводов сечением до 10 мм2</v>
      </c>
      <c r="C100" s="49" t="str">
        <f>Source!H196</f>
        <v>100 жил</v>
      </c>
      <c r="D100" s="50">
        <f>Source!I196</f>
        <v>0.06</v>
      </c>
      <c r="E100" s="48"/>
    </row>
    <row r="101" spans="1:5" ht="14.25">
      <c r="A101" s="47">
        <v>44.1</v>
      </c>
      <c r="B101" s="48" t="str">
        <f>Source!G197</f>
        <v>Наконечники кабельные</v>
      </c>
      <c r="C101" s="49" t="str">
        <f>Source!H197</f>
        <v>шт.</v>
      </c>
      <c r="D101" s="50">
        <f>Source!I197</f>
        <v>6.12</v>
      </c>
      <c r="E101" s="48"/>
    </row>
    <row r="102" spans="1:5" ht="42.75">
      <c r="A102" s="47">
        <v>45</v>
      </c>
      <c r="B102" s="48" t="str">
        <f>Source!G198</f>
        <v>Сверление сквозных отверстий в бетонных стенах и полах электроперфоратором, диаметр отверстия до 20 мм, глубина сверления 100 мм</v>
      </c>
      <c r="C102" s="49" t="str">
        <f>Source!H198</f>
        <v>100 отверстий</v>
      </c>
      <c r="D102" s="50">
        <f>Source!I198</f>
        <v>0.01</v>
      </c>
      <c r="E102" s="48"/>
    </row>
    <row r="103" spans="1:5" ht="14.25">
      <c r="A103" s="47">
        <v>45.1</v>
      </c>
      <c r="B103" s="48" t="str">
        <f>Source!G199</f>
        <v>Сверло с алмазным покрытием, диаметр 20 мм</v>
      </c>
      <c r="C103" s="49" t="str">
        <f>Source!H199</f>
        <v>шт.</v>
      </c>
      <c r="D103" s="50">
        <f>Source!I199</f>
        <v>1</v>
      </c>
      <c r="E103" s="48"/>
    </row>
    <row r="104" spans="1:5" ht="28.5">
      <c r="A104" s="47">
        <v>46</v>
      </c>
      <c r="B104" s="48" t="str">
        <f>Source!G200</f>
        <v>Добавлять на каждые 50 мм глубины сверления сверх 100 мм к позиции 6.69-24-1 до т. 250мм</v>
      </c>
      <c r="C104" s="49" t="str">
        <f>Source!H200</f>
        <v>100 отверстий</v>
      </c>
      <c r="D104" s="50">
        <f>Source!I200</f>
        <v>0.01</v>
      </c>
      <c r="E104" s="48"/>
    </row>
    <row r="105" spans="1:5" ht="14.25">
      <c r="A105" s="47">
        <v>47</v>
      </c>
      <c r="B105" s="48" t="str">
        <f>Source!G201</f>
        <v>Установка закладных деталей весом до 4 кг</v>
      </c>
      <c r="C105" s="49" t="str">
        <f>Source!H201</f>
        <v>1 Т</v>
      </c>
      <c r="D105" s="50">
        <f>Source!I201</f>
        <v>1.7249999999999999E-4</v>
      </c>
      <c r="E105" s="48"/>
    </row>
    <row r="106" spans="1:5" ht="14.25">
      <c r="A106" s="47">
        <v>47.1</v>
      </c>
      <c r="B106" s="48" t="str">
        <f>Source!G202</f>
        <v>Закладные и накладные детали</v>
      </c>
      <c r="C106" s="49" t="str">
        <f>Source!H202</f>
        <v>т</v>
      </c>
      <c r="D106" s="50">
        <f>Source!I202</f>
        <v>1.73E-4</v>
      </c>
      <c r="E106" s="48"/>
    </row>
    <row r="107" spans="1:5" ht="28.5">
      <c r="A107" s="47">
        <v>48</v>
      </c>
      <c r="B107" s="48" t="str">
        <f>Source!G203</f>
        <v>Трубы стальные электросварные прямошовные, ГОСТ 10705-80, ГОСТ 10704-91, наружный диаметр 15 мм, толщина стенки 1,5 мм</v>
      </c>
      <c r="C107" s="49" t="str">
        <f>Source!H203</f>
        <v>м</v>
      </c>
      <c r="D107" s="50">
        <f>Source!I203</f>
        <v>0.25</v>
      </c>
      <c r="E107" s="48"/>
    </row>
    <row r="108" spans="1:5" ht="28.5">
      <c r="A108" s="47">
        <v>49</v>
      </c>
      <c r="B108" s="48" t="str">
        <f>Source!G204</f>
        <v>Герметизация прохода при вводе кабелей во взрывоопасные помещения уплотнительной массой</v>
      </c>
      <c r="C108" s="49" t="str">
        <f>Source!H204</f>
        <v>1 проход кабеля</v>
      </c>
      <c r="D108" s="50">
        <f>Source!I204</f>
        <v>1</v>
      </c>
      <c r="E108" s="48"/>
    </row>
    <row r="109" spans="1:5" ht="28.5">
      <c r="A109" s="47">
        <v>50</v>
      </c>
      <c r="B109" s="48" t="str">
        <f>Source!G205</f>
        <v>Выключатель трехполюсный, с электромагнитным, тепловым или комбинированным расцепителем, номинальный ток до 50А</v>
      </c>
      <c r="C109" s="49" t="str">
        <f>Source!H205</f>
        <v>1  ШТ.</v>
      </c>
      <c r="D109" s="50">
        <f>Source!I205</f>
        <v>1</v>
      </c>
      <c r="E109" s="48"/>
    </row>
    <row r="110" spans="1:5" ht="28.5">
      <c r="A110" s="47">
        <v>51</v>
      </c>
      <c r="B110" s="48" t="str">
        <f>Source!G206</f>
        <v>Проверка наличия цепи между заземлителями и заземленными элементами</v>
      </c>
      <c r="C110" s="49" t="str">
        <f>Source!H206</f>
        <v>1 ТОЧКА</v>
      </c>
      <c r="D110" s="50">
        <f>Source!I206</f>
        <v>5</v>
      </c>
      <c r="E110" s="48"/>
    </row>
    <row r="111" spans="1:5" ht="57">
      <c r="A111" s="47">
        <v>52</v>
      </c>
      <c r="B111" s="48" t="str">
        <f>Source!G207</f>
        <v>Измерение сопротивления изоляции мегаомметром кабельных и других линий напряжением до 1 кВ, предназначенных для передачи электроэнергии к распределительным устройствам, щитам, шкафам и коммутационным аппаратам</v>
      </c>
      <c r="C111" s="49" t="str">
        <f>Source!H207</f>
        <v>1 измерение</v>
      </c>
      <c r="D111" s="50">
        <f>Source!I207</f>
        <v>3</v>
      </c>
      <c r="E111" s="48"/>
    </row>
    <row r="112" spans="1:5" ht="42.75">
      <c r="A112" s="43">
        <v>53</v>
      </c>
      <c r="B112" s="44" t="str">
        <f>Source!G208</f>
        <v>Снятие характеристик для определения напряжения прикосновения в точках, указанных проектом</v>
      </c>
      <c r="C112" s="45" t="str">
        <f>Source!H208</f>
        <v>1 точка прикосновения</v>
      </c>
      <c r="D112" s="46">
        <f>Source!I208</f>
        <v>1</v>
      </c>
      <c r="E112" s="44"/>
    </row>
    <row r="115" spans="1:5" ht="15">
      <c r="A115" s="18" t="s">
        <v>518</v>
      </c>
      <c r="B115" s="18"/>
      <c r="C115" s="18" t="s">
        <v>519</v>
      </c>
      <c r="D115" s="18"/>
      <c r="E115" s="18"/>
    </row>
  </sheetData>
  <mergeCells count="8">
    <mergeCell ref="A49:E49"/>
    <mergeCell ref="A73:E73"/>
    <mergeCell ref="C5:D5"/>
    <mergeCell ref="C7:D7"/>
    <mergeCell ref="A11:D11"/>
    <mergeCell ref="A12:D12"/>
    <mergeCell ref="A19:E19"/>
    <mergeCell ref="A20:E20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2.75"/>
  <sheetData>
    <row r="1" spans="1:28">
      <c r="A1" t="s">
        <v>548</v>
      </c>
      <c r="B1" t="s">
        <v>550</v>
      </c>
      <c r="C1" t="s">
        <v>551</v>
      </c>
      <c r="D1" t="s">
        <v>552</v>
      </c>
      <c r="E1" t="s">
        <v>553</v>
      </c>
      <c r="F1" t="s">
        <v>554</v>
      </c>
      <c r="G1" t="s">
        <v>555</v>
      </c>
      <c r="H1" t="s">
        <v>556</v>
      </c>
      <c r="I1" t="s">
        <v>557</v>
      </c>
      <c r="J1" t="s">
        <v>558</v>
      </c>
      <c r="K1" t="s">
        <v>559</v>
      </c>
      <c r="L1" t="s">
        <v>560</v>
      </c>
      <c r="M1" t="s">
        <v>561</v>
      </c>
      <c r="N1" t="s">
        <v>562</v>
      </c>
      <c r="O1" t="s">
        <v>549</v>
      </c>
    </row>
    <row r="2" spans="1:28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0</v>
      </c>
      <c r="I2">
        <v>1</v>
      </c>
      <c r="J2">
        <v>0</v>
      </c>
      <c r="K2">
        <v>1</v>
      </c>
      <c r="L2">
        <v>76282491</v>
      </c>
      <c r="M2">
        <v>0</v>
      </c>
      <c r="N2">
        <v>0</v>
      </c>
      <c r="O2">
        <v>0</v>
      </c>
    </row>
    <row r="4" spans="1:28">
      <c r="A4" t="s">
        <v>520</v>
      </c>
      <c r="B4" t="s">
        <v>521</v>
      </c>
      <c r="C4" t="s">
        <v>522</v>
      </c>
      <c r="D4" t="s">
        <v>523</v>
      </c>
      <c r="E4" t="s">
        <v>524</v>
      </c>
      <c r="F4" t="s">
        <v>525</v>
      </c>
      <c r="G4" t="s">
        <v>526</v>
      </c>
      <c r="H4" t="s">
        <v>527</v>
      </c>
      <c r="I4" t="s">
        <v>528</v>
      </c>
      <c r="J4" t="s">
        <v>529</v>
      </c>
      <c r="K4" t="s">
        <v>530</v>
      </c>
      <c r="L4" t="s">
        <v>531</v>
      </c>
      <c r="M4" t="s">
        <v>532</v>
      </c>
      <c r="N4" t="s">
        <v>533</v>
      </c>
      <c r="O4" t="s">
        <v>534</v>
      </c>
      <c r="P4" t="s">
        <v>535</v>
      </c>
      <c r="Q4" t="s">
        <v>536</v>
      </c>
      <c r="R4" t="s">
        <v>537</v>
      </c>
      <c r="S4" t="s">
        <v>538</v>
      </c>
      <c r="T4" t="s">
        <v>539</v>
      </c>
      <c r="U4" t="s">
        <v>543</v>
      </c>
      <c r="V4" t="s">
        <v>544</v>
      </c>
      <c r="W4" t="s">
        <v>545</v>
      </c>
      <c r="X4" t="s">
        <v>546</v>
      </c>
      <c r="Y4" t="s">
        <v>547</v>
      </c>
      <c r="Z4" t="s">
        <v>540</v>
      </c>
      <c r="AA4" t="s">
        <v>541</v>
      </c>
      <c r="AB4" t="s">
        <v>542</v>
      </c>
    </row>
    <row r="6" spans="1:28">
      <c r="A6">
        <f>Source!A20</f>
        <v>3</v>
      </c>
      <c r="B6">
        <v>20</v>
      </c>
      <c r="G6" t="str">
        <f>Source!G20</f>
        <v>Новая локальная смета</v>
      </c>
    </row>
    <row r="7" spans="1:28">
      <c r="A7">
        <f>Source!A24</f>
        <v>4</v>
      </c>
      <c r="B7">
        <v>24</v>
      </c>
      <c r="G7" t="str">
        <f>Source!G24</f>
        <v>Читальный зал (щитовое оборудование)</v>
      </c>
    </row>
    <row r="8" spans="1:28">
      <c r="A8">
        <f>Source!A36</f>
        <v>17</v>
      </c>
      <c r="B8">
        <v>36</v>
      </c>
      <c r="C8">
        <v>5</v>
      </c>
      <c r="D8">
        <f>Source!BI36</f>
        <v>3</v>
      </c>
      <c r="E8">
        <f>Source!FS36</f>
        <v>0</v>
      </c>
      <c r="F8" t="str">
        <f>Source!F36</f>
        <v>Цена поставщика</v>
      </c>
      <c r="G8" t="str">
        <f>Source!G36</f>
        <v>Щит металлический 24 модуля, IP -54</v>
      </c>
      <c r="H8" t="str">
        <f>Source!H36</f>
        <v>шт.</v>
      </c>
      <c r="I8">
        <f>Source!I36</f>
        <v>1</v>
      </c>
      <c r="J8">
        <v>1</v>
      </c>
      <c r="K8">
        <f>Source!AC36</f>
        <v>6455.55</v>
      </c>
      <c r="M8">
        <f t="shared" ref="M8:M14" si="0">ROUND(K8*I8, 2)</f>
        <v>6455.55</v>
      </c>
      <c r="N8">
        <f>Source!AC36*IF(Source!BC36&lt;&gt; 0, Source!BC36, 1)</f>
        <v>6455.55</v>
      </c>
      <c r="O8">
        <f t="shared" ref="O8:O14" si="1">ROUND(N8*I8, 2)</f>
        <v>6455.55</v>
      </c>
      <c r="P8">
        <f>Source!AE36</f>
        <v>0</v>
      </c>
      <c r="R8">
        <f t="shared" ref="R8:R14" si="2">ROUND(P8*I8, 2)</f>
        <v>0</v>
      </c>
      <c r="S8">
        <f>Source!AE36*IF(Source!BS36&lt;&gt; 0, Source!BS36, 1)</f>
        <v>0</v>
      </c>
      <c r="T8">
        <f t="shared" ref="T8:T14" si="3">ROUND(S8*I8, 2)</f>
        <v>0</v>
      </c>
      <c r="U8">
        <v>3</v>
      </c>
      <c r="Z8">
        <f>Source!GF36</f>
        <v>720601026</v>
      </c>
      <c r="AA8">
        <v>-954063356</v>
      </c>
      <c r="AB8">
        <v>-954063356</v>
      </c>
    </row>
    <row r="9" spans="1:28">
      <c r="A9">
        <f>Source!A38</f>
        <v>18</v>
      </c>
      <c r="B9">
        <v>38</v>
      </c>
      <c r="C9">
        <v>3</v>
      </c>
      <c r="D9">
        <f>Source!BI38</f>
        <v>2</v>
      </c>
      <c r="E9">
        <f>Source!FS38</f>
        <v>0</v>
      </c>
      <c r="F9" t="str">
        <f>Source!F38</f>
        <v>1.1-1-58</v>
      </c>
      <c r="G9" t="str">
        <f>Source!G38</f>
        <v>Болты строительные с гайками, оцинкованные, М10х100 мм</v>
      </c>
      <c r="H9" t="str">
        <f>Source!H38</f>
        <v>т</v>
      </c>
      <c r="I9">
        <f>Source!I38</f>
        <v>4.8999999999999998E-4</v>
      </c>
      <c r="J9">
        <v>1</v>
      </c>
      <c r="K9">
        <f>Source!AC38</f>
        <v>24609.759999999998</v>
      </c>
      <c r="M9">
        <f t="shared" si="0"/>
        <v>12.06</v>
      </c>
      <c r="N9">
        <f>Source!AC38*IF(Source!BC38&lt;&gt; 0, Source!BC38, 1)</f>
        <v>85888.062399999995</v>
      </c>
      <c r="O9">
        <f t="shared" si="1"/>
        <v>42.09</v>
      </c>
      <c r="P9">
        <f>Source!AE38</f>
        <v>0</v>
      </c>
      <c r="R9">
        <f t="shared" si="2"/>
        <v>0</v>
      </c>
      <c r="S9">
        <f>Source!AE38*IF(Source!BS38&lt;&gt; 0, Source!BS38, 1)</f>
        <v>0</v>
      </c>
      <c r="T9">
        <f t="shared" si="3"/>
        <v>0</v>
      </c>
      <c r="U9">
        <v>3</v>
      </c>
      <c r="Z9">
        <f>Source!GF38</f>
        <v>-566361729</v>
      </c>
      <c r="AA9">
        <v>-1171803139</v>
      </c>
      <c r="AB9">
        <v>248530457</v>
      </c>
    </row>
    <row r="10" spans="1:28">
      <c r="A10">
        <f>Source!A40</f>
        <v>18</v>
      </c>
      <c r="B10">
        <v>40</v>
      </c>
      <c r="C10">
        <v>3</v>
      </c>
      <c r="D10">
        <f>Source!BI40</f>
        <v>2</v>
      </c>
      <c r="E10">
        <f>Source!FS40</f>
        <v>0</v>
      </c>
      <c r="F10" t="str">
        <f>Source!F40</f>
        <v>1.21-5-737</v>
      </c>
      <c r="G10" t="str">
        <f>Source!G40</f>
        <v>Наконечник кабельный медный под опрессовку луженый, типа ТМЛ 16-6-6</v>
      </c>
      <c r="H10" t="str">
        <f>Source!H40</f>
        <v>шт.</v>
      </c>
      <c r="I10">
        <f>Source!I40</f>
        <v>61</v>
      </c>
      <c r="J10">
        <v>1</v>
      </c>
      <c r="K10">
        <f>Source!AC40</f>
        <v>3.9</v>
      </c>
      <c r="M10">
        <f t="shared" si="0"/>
        <v>237.9</v>
      </c>
      <c r="N10">
        <f>Source!AC40*IF(Source!BC40&lt;&gt; 0, Source!BC40, 1)</f>
        <v>25.74</v>
      </c>
      <c r="O10">
        <f t="shared" si="1"/>
        <v>1570.14</v>
      </c>
      <c r="P10">
        <f>Source!AE40</f>
        <v>0</v>
      </c>
      <c r="R10">
        <f t="shared" si="2"/>
        <v>0</v>
      </c>
      <c r="S10">
        <f>Source!AE40*IF(Source!BS40&lt;&gt; 0, Source!BS40, 1)</f>
        <v>0</v>
      </c>
      <c r="T10">
        <f t="shared" si="3"/>
        <v>0</v>
      </c>
      <c r="U10">
        <v>3</v>
      </c>
      <c r="Z10">
        <f>Source!GF40</f>
        <v>1484810839</v>
      </c>
      <c r="AA10">
        <v>-480438661</v>
      </c>
      <c r="AB10">
        <v>-1024860047</v>
      </c>
    </row>
    <row r="11" spans="1:28">
      <c r="A11">
        <f>Source!A43</f>
        <v>18</v>
      </c>
      <c r="B11">
        <v>43</v>
      </c>
      <c r="C11">
        <v>3</v>
      </c>
      <c r="D11">
        <f>Source!BI43</f>
        <v>2</v>
      </c>
      <c r="E11">
        <f>Source!FS43</f>
        <v>0</v>
      </c>
      <c r="F11" t="str">
        <f>Source!F43</f>
        <v>1.1-1-58</v>
      </c>
      <c r="G11" t="str">
        <f>Source!G43</f>
        <v>Болты строительные с гайками, оцинкованные, М10х100 мм</v>
      </c>
      <c r="H11" t="str">
        <f>Source!H43</f>
        <v>т</v>
      </c>
      <c r="I11">
        <f>Source!I43</f>
        <v>3.7300000000000001E-4</v>
      </c>
      <c r="J11">
        <v>1</v>
      </c>
      <c r="K11">
        <f>Source!AC43</f>
        <v>24609.759999999998</v>
      </c>
      <c r="M11">
        <f t="shared" si="0"/>
        <v>9.18</v>
      </c>
      <c r="N11">
        <f>Source!AC43*IF(Source!BC43&lt;&gt; 0, Source!BC43, 1)</f>
        <v>85888.062399999995</v>
      </c>
      <c r="O11">
        <f t="shared" si="1"/>
        <v>32.04</v>
      </c>
      <c r="P11">
        <f>Source!AE43</f>
        <v>0</v>
      </c>
      <c r="R11">
        <f t="shared" si="2"/>
        <v>0</v>
      </c>
      <c r="S11">
        <f>Source!AE43*IF(Source!BS43&lt;&gt; 0, Source!BS43, 1)</f>
        <v>0</v>
      </c>
      <c r="T11">
        <f t="shared" si="3"/>
        <v>0</v>
      </c>
      <c r="U11">
        <v>3</v>
      </c>
      <c r="Z11">
        <f>Source!GF43</f>
        <v>-566361729</v>
      </c>
      <c r="AA11">
        <v>-1171803139</v>
      </c>
      <c r="AB11">
        <v>248530457</v>
      </c>
    </row>
    <row r="12" spans="1:28">
      <c r="A12">
        <f>Source!A47</f>
        <v>17</v>
      </c>
      <c r="B12">
        <v>47</v>
      </c>
      <c r="C12">
        <v>5</v>
      </c>
      <c r="D12">
        <f>Source!BI47</f>
        <v>3</v>
      </c>
      <c r="E12">
        <f>Source!FS47</f>
        <v>0</v>
      </c>
      <c r="F12" t="str">
        <f>Source!F47</f>
        <v>Цена поставщика</v>
      </c>
      <c r="G12" t="str">
        <f>Source!G47</f>
        <v>Модульный контактор Dekraft МК103-063A-230B-04 18091DEK</v>
      </c>
      <c r="H12" t="str">
        <f>Source!H47</f>
        <v>шт.</v>
      </c>
      <c r="I12">
        <f>Source!I47</f>
        <v>1</v>
      </c>
      <c r="J12">
        <v>1</v>
      </c>
      <c r="K12">
        <f>Source!AC47</f>
        <v>5813.94</v>
      </c>
      <c r="M12">
        <f t="shared" si="0"/>
        <v>5813.94</v>
      </c>
      <c r="N12">
        <f>Source!AC47*IF(Source!BC47&lt;&gt; 0, Source!BC47, 1)</f>
        <v>5813.94</v>
      </c>
      <c r="O12">
        <f t="shared" si="1"/>
        <v>5813.94</v>
      </c>
      <c r="P12">
        <f>Source!AE47</f>
        <v>0</v>
      </c>
      <c r="R12">
        <f t="shared" si="2"/>
        <v>0</v>
      </c>
      <c r="S12">
        <f>Source!AE47*IF(Source!BS47&lt;&gt; 0, Source!BS47, 1)</f>
        <v>0</v>
      </c>
      <c r="T12">
        <f t="shared" si="3"/>
        <v>0</v>
      </c>
      <c r="U12">
        <v>3</v>
      </c>
      <c r="Z12">
        <f>Source!GF47</f>
        <v>1147417650</v>
      </c>
      <c r="AA12">
        <v>276507926</v>
      </c>
      <c r="AB12">
        <v>276507926</v>
      </c>
    </row>
    <row r="13" spans="1:28">
      <c r="A13">
        <f>Source!A51</f>
        <v>18</v>
      </c>
      <c r="B13">
        <v>51</v>
      </c>
      <c r="C13">
        <v>3</v>
      </c>
      <c r="D13">
        <f>Source!BI51</f>
        <v>2</v>
      </c>
      <c r="E13">
        <f>Source!FS51</f>
        <v>0</v>
      </c>
      <c r="F13" t="str">
        <f>Source!F51</f>
        <v>1.1-1-58</v>
      </c>
      <c r="G13" t="str">
        <f>Source!G51</f>
        <v>Болты строительные с гайками, оцинкованные, М10х100 мм</v>
      </c>
      <c r="H13" t="str">
        <f>Source!H51</f>
        <v>т</v>
      </c>
      <c r="I13">
        <f>Source!I51</f>
        <v>5.0000000000000002E-5</v>
      </c>
      <c r="J13">
        <v>1</v>
      </c>
      <c r="K13">
        <f>Source!AC51</f>
        <v>24609.759999999998</v>
      </c>
      <c r="M13">
        <f t="shared" si="0"/>
        <v>1.23</v>
      </c>
      <c r="N13">
        <f>Source!AC51*IF(Source!BC51&lt;&gt; 0, Source!BC51, 1)</f>
        <v>85888.062399999995</v>
      </c>
      <c r="O13">
        <f t="shared" si="1"/>
        <v>4.29</v>
      </c>
      <c r="P13">
        <f>Source!AE51</f>
        <v>0</v>
      </c>
      <c r="R13">
        <f t="shared" si="2"/>
        <v>0</v>
      </c>
      <c r="S13">
        <f>Source!AE51*IF(Source!BS51&lt;&gt; 0, Source!BS51, 1)</f>
        <v>0</v>
      </c>
      <c r="T13">
        <f t="shared" si="3"/>
        <v>0</v>
      </c>
      <c r="U13">
        <v>3</v>
      </c>
      <c r="Z13">
        <f>Source!GF51</f>
        <v>-566361729</v>
      </c>
      <c r="AA13">
        <v>-1171803139</v>
      </c>
      <c r="AB13">
        <v>248530457</v>
      </c>
    </row>
    <row r="14" spans="1:28">
      <c r="A14">
        <f>Source!A55</f>
        <v>17</v>
      </c>
      <c r="B14">
        <v>55</v>
      </c>
      <c r="C14">
        <v>5</v>
      </c>
      <c r="D14">
        <f>Source!BI55</f>
        <v>3</v>
      </c>
      <c r="E14">
        <f>Source!FS55</f>
        <v>0</v>
      </c>
      <c r="F14" t="str">
        <f>Source!F55</f>
        <v>Цена поставщика</v>
      </c>
      <c r="G14" t="str">
        <f>Source!G55</f>
        <v>Кнопочный пост</v>
      </c>
      <c r="H14" t="str">
        <f>Source!H55</f>
        <v>шт.</v>
      </c>
      <c r="I14">
        <f>Source!I55</f>
        <v>1</v>
      </c>
      <c r="J14">
        <v>1</v>
      </c>
      <c r="K14">
        <f>Source!AC55</f>
        <v>3920.49</v>
      </c>
      <c r="M14">
        <f t="shared" si="0"/>
        <v>3920.49</v>
      </c>
      <c r="N14">
        <f>Source!AC55*IF(Source!BC55&lt;&gt; 0, Source!BC55, 1)</f>
        <v>3920.49</v>
      </c>
      <c r="O14">
        <f t="shared" si="1"/>
        <v>3920.49</v>
      </c>
      <c r="P14">
        <f>Source!AE55</f>
        <v>0</v>
      </c>
      <c r="R14">
        <f t="shared" si="2"/>
        <v>0</v>
      </c>
      <c r="S14">
        <f>Source!AE55*IF(Source!BS55&lt;&gt; 0, Source!BS55, 1)</f>
        <v>0</v>
      </c>
      <c r="T14">
        <f t="shared" si="3"/>
        <v>0</v>
      </c>
      <c r="U14">
        <v>3</v>
      </c>
      <c r="Z14">
        <f>Source!GF55</f>
        <v>137098916</v>
      </c>
      <c r="AA14">
        <v>1787705733</v>
      </c>
      <c r="AB14">
        <v>1787705733</v>
      </c>
    </row>
    <row r="15" spans="1:28">
      <c r="A15">
        <f>Source!A91</f>
        <v>4</v>
      </c>
      <c r="B15">
        <v>91</v>
      </c>
      <c r="G15" t="str">
        <f>Source!G91</f>
        <v>Установка воздушной завесы</v>
      </c>
    </row>
    <row r="16" spans="1:28">
      <c r="A16">
        <f>Source!A97</f>
        <v>17</v>
      </c>
      <c r="B16">
        <v>97</v>
      </c>
      <c r="C16">
        <v>3</v>
      </c>
      <c r="D16">
        <f>Source!BI97</f>
        <v>1</v>
      </c>
      <c r="E16">
        <f>Source!FS97</f>
        <v>0</v>
      </c>
      <c r="F16" t="str">
        <f>Source!F97</f>
        <v>Цена поставщика</v>
      </c>
      <c r="G16" t="str">
        <f>Source!G97</f>
        <v>Розетка КЭАЗ 114-16А-6h-380AC-3P+PE-IP44 222754</v>
      </c>
      <c r="H16" t="str">
        <f>Source!H97</f>
        <v>шт.</v>
      </c>
      <c r="I16">
        <f>Source!I97</f>
        <v>1</v>
      </c>
      <c r="J16">
        <v>1</v>
      </c>
      <c r="K16">
        <f>Source!AC97</f>
        <v>2522.46</v>
      </c>
      <c r="M16">
        <f t="shared" ref="M16:M21" si="4">ROUND(K16*I16, 2)</f>
        <v>2522.46</v>
      </c>
      <c r="N16">
        <f>Source!AC97*IF(Source!BC97&lt;&gt; 0, Source!BC97, 1)</f>
        <v>2522.46</v>
      </c>
      <c r="O16">
        <f t="shared" ref="O16:O21" si="5">ROUND(N16*I16, 2)</f>
        <v>2522.46</v>
      </c>
      <c r="P16">
        <f>Source!AE97</f>
        <v>0</v>
      </c>
      <c r="R16">
        <f t="shared" ref="R16:R21" si="6">ROUND(P16*I16, 2)</f>
        <v>0</v>
      </c>
      <c r="S16">
        <f>Source!AE97*IF(Source!BS97&lt;&gt; 0, Source!BS97, 1)</f>
        <v>0</v>
      </c>
      <c r="T16">
        <f t="shared" ref="T16:T21" si="7">ROUND(S16*I16, 2)</f>
        <v>0</v>
      </c>
      <c r="U16">
        <v>3</v>
      </c>
      <c r="Z16">
        <f>Source!GF97</f>
        <v>-272102720</v>
      </c>
      <c r="AA16">
        <v>534877541</v>
      </c>
      <c r="AB16">
        <v>534877541</v>
      </c>
    </row>
    <row r="17" spans="1:28">
      <c r="A17">
        <f>Source!A99</f>
        <v>18</v>
      </c>
      <c r="B17">
        <v>99</v>
      </c>
      <c r="C17">
        <v>3</v>
      </c>
      <c r="D17">
        <f>Source!BI99</f>
        <v>2</v>
      </c>
      <c r="E17">
        <f>Source!FS99</f>
        <v>0</v>
      </c>
      <c r="F17" t="str">
        <f>Source!F99</f>
        <v>1.1-1-58</v>
      </c>
      <c r="G17" t="str">
        <f>Source!G99</f>
        <v>Болты строительные с гайками, оцинкованные, М10х100 мм</v>
      </c>
      <c r="H17" t="str">
        <f>Source!H99</f>
        <v>т</v>
      </c>
      <c r="I17">
        <f>Source!I99</f>
        <v>4.8999999999999998E-5</v>
      </c>
      <c r="J17">
        <v>1</v>
      </c>
      <c r="K17">
        <f>Source!AC99</f>
        <v>24609.759999999998</v>
      </c>
      <c r="M17">
        <f t="shared" si="4"/>
        <v>1.21</v>
      </c>
      <c r="N17">
        <f>Source!AC99*IF(Source!BC99&lt;&gt; 0, Source!BC99, 1)</f>
        <v>85888.062399999995</v>
      </c>
      <c r="O17">
        <f t="shared" si="5"/>
        <v>4.21</v>
      </c>
      <c r="P17">
        <f>Source!AE99</f>
        <v>0</v>
      </c>
      <c r="R17">
        <f t="shared" si="6"/>
        <v>0</v>
      </c>
      <c r="S17">
        <f>Source!AE99*IF(Source!BS99&lt;&gt; 0, Source!BS99, 1)</f>
        <v>0</v>
      </c>
      <c r="T17">
        <f t="shared" si="7"/>
        <v>0</v>
      </c>
      <c r="U17">
        <v>3</v>
      </c>
      <c r="Z17">
        <f>Source!GF99</f>
        <v>-566361729</v>
      </c>
      <c r="AA17">
        <v>-1171803139</v>
      </c>
      <c r="AB17">
        <v>248530457</v>
      </c>
    </row>
    <row r="18" spans="1:28">
      <c r="A18">
        <f>Source!A103</f>
        <v>17</v>
      </c>
      <c r="B18">
        <v>103</v>
      </c>
      <c r="C18">
        <v>5</v>
      </c>
      <c r="D18">
        <f>Source!BI103</f>
        <v>3</v>
      </c>
      <c r="E18">
        <f>Source!FS103</f>
        <v>0</v>
      </c>
      <c r="F18" t="str">
        <f>Source!F103</f>
        <v>Цена поставщика</v>
      </c>
      <c r="G18" t="str">
        <f>Source!G103</f>
        <v>Автоматический выключатель (АВ) DEKraft ВА-101, 3 Р, 25А</v>
      </c>
      <c r="H18" t="str">
        <f>Source!H103</f>
        <v>шт.</v>
      </c>
      <c r="I18">
        <f>Source!I103</f>
        <v>1</v>
      </c>
      <c r="J18">
        <v>1</v>
      </c>
      <c r="K18">
        <f>Source!AC103</f>
        <v>999.86</v>
      </c>
      <c r="M18">
        <f t="shared" si="4"/>
        <v>999.86</v>
      </c>
      <c r="N18">
        <f>Source!AC103*IF(Source!BC103&lt;&gt; 0, Source!BC103, 1)</f>
        <v>999.86</v>
      </c>
      <c r="O18">
        <f t="shared" si="5"/>
        <v>999.86</v>
      </c>
      <c r="P18">
        <f>Source!AE103</f>
        <v>0</v>
      </c>
      <c r="R18">
        <f t="shared" si="6"/>
        <v>0</v>
      </c>
      <c r="S18">
        <f>Source!AE103*IF(Source!BS103&lt;&gt; 0, Source!BS103, 1)</f>
        <v>0</v>
      </c>
      <c r="T18">
        <f t="shared" si="7"/>
        <v>0</v>
      </c>
      <c r="U18">
        <v>3</v>
      </c>
      <c r="Z18">
        <f>Source!GF103</f>
        <v>1741647076</v>
      </c>
      <c r="AA18">
        <v>1871099775</v>
      </c>
      <c r="AB18">
        <v>1871099775</v>
      </c>
    </row>
    <row r="19" spans="1:28">
      <c r="A19">
        <f>Source!A112</f>
        <v>17</v>
      </c>
      <c r="B19">
        <v>112</v>
      </c>
      <c r="C19">
        <v>3</v>
      </c>
      <c r="D19">
        <f>Source!BI112</f>
        <v>1</v>
      </c>
      <c r="E19">
        <f>Source!FS112</f>
        <v>0</v>
      </c>
      <c r="F19" t="str">
        <f>Source!F112</f>
        <v>1.1-1-1966</v>
      </c>
      <c r="G19" t="str">
        <f>Source!G112</f>
        <v>Кабель-канал, размер 40х19 мм</v>
      </c>
      <c r="H19" t="str">
        <f>Source!H112</f>
        <v>м</v>
      </c>
      <c r="I19">
        <f>Source!I112</f>
        <v>30</v>
      </c>
      <c r="J19">
        <v>1</v>
      </c>
      <c r="K19">
        <f>Source!AC112</f>
        <v>16.739999999999998</v>
      </c>
      <c r="M19">
        <f t="shared" si="4"/>
        <v>502.2</v>
      </c>
      <c r="N19">
        <f>Source!AC112*IF(Source!BC112&lt;&gt; 0, Source!BC112, 1)</f>
        <v>69.136199999999988</v>
      </c>
      <c r="O19">
        <f t="shared" si="5"/>
        <v>2074.09</v>
      </c>
      <c r="P19">
        <f>Source!AE112</f>
        <v>0</v>
      </c>
      <c r="R19">
        <f t="shared" si="6"/>
        <v>0</v>
      </c>
      <c r="S19">
        <f>Source!AE112*IF(Source!BS112&lt;&gt; 0, Source!BS112, 1)</f>
        <v>0</v>
      </c>
      <c r="T19">
        <f t="shared" si="7"/>
        <v>0</v>
      </c>
      <c r="U19">
        <v>3</v>
      </c>
      <c r="Z19">
        <f>Source!GF112</f>
        <v>-2009022505</v>
      </c>
      <c r="AA19">
        <v>-1461804562</v>
      </c>
      <c r="AB19">
        <v>1978397386</v>
      </c>
    </row>
    <row r="20" spans="1:28">
      <c r="A20">
        <f>Source!A115</f>
        <v>17</v>
      </c>
      <c r="B20">
        <v>115</v>
      </c>
      <c r="C20">
        <v>3</v>
      </c>
      <c r="D20">
        <f>Source!BI115</f>
        <v>1</v>
      </c>
      <c r="E20">
        <f>Source!FS115</f>
        <v>0</v>
      </c>
      <c r="F20" t="str">
        <f>Source!F115</f>
        <v>Цена поставщика</v>
      </c>
      <c r="G20" t="str">
        <f>Source!G115</f>
        <v>Кабель ВВГнг -LS 4х5</v>
      </c>
      <c r="H20" t="str">
        <f>Source!H115</f>
        <v>м</v>
      </c>
      <c r="I20">
        <f>Source!I115</f>
        <v>31.62</v>
      </c>
      <c r="J20">
        <v>1</v>
      </c>
      <c r="K20">
        <f>Source!AC115</f>
        <v>383.52</v>
      </c>
      <c r="M20">
        <f t="shared" si="4"/>
        <v>12126.9</v>
      </c>
      <c r="N20">
        <f>Source!AC115*IF(Source!BC115&lt;&gt; 0, Source!BC115, 1)</f>
        <v>383.52</v>
      </c>
      <c r="O20">
        <f t="shared" si="5"/>
        <v>12126.9</v>
      </c>
      <c r="P20">
        <f>Source!AE115</f>
        <v>0</v>
      </c>
      <c r="R20">
        <f t="shared" si="6"/>
        <v>0</v>
      </c>
      <c r="S20">
        <f>Source!AE115*IF(Source!BS115&lt;&gt; 0, Source!BS115, 1)</f>
        <v>0</v>
      </c>
      <c r="T20">
        <f t="shared" si="7"/>
        <v>0</v>
      </c>
      <c r="U20">
        <v>3</v>
      </c>
      <c r="Z20">
        <f>Source!GF115</f>
        <v>-1099975914</v>
      </c>
      <c r="AA20">
        <v>-867320546</v>
      </c>
      <c r="AB20">
        <v>-867320546</v>
      </c>
    </row>
    <row r="21" spans="1:28">
      <c r="A21">
        <f>Source!A120</f>
        <v>17</v>
      </c>
      <c r="B21">
        <v>120</v>
      </c>
      <c r="C21">
        <v>5</v>
      </c>
      <c r="D21">
        <f>Source!BI120</f>
        <v>3</v>
      </c>
      <c r="E21">
        <f>Source!FS120</f>
        <v>0</v>
      </c>
      <c r="F21" t="str">
        <f>Source!F120</f>
        <v>Цена поставщика</v>
      </c>
      <c r="G21" t="str">
        <f>Source!G120</f>
        <v>Тепловая завеса Ballu BHC-L10T05 НС-1248461</v>
      </c>
      <c r="H21" t="str">
        <f>Source!H120</f>
        <v>шт.</v>
      </c>
      <c r="I21">
        <f>Source!I120</f>
        <v>1</v>
      </c>
      <c r="J21">
        <v>1</v>
      </c>
      <c r="K21">
        <f>Source!AC120</f>
        <v>18142.12</v>
      </c>
      <c r="M21">
        <f t="shared" si="4"/>
        <v>18142.12</v>
      </c>
      <c r="N21">
        <f>Source!AC120*IF(Source!BC120&lt;&gt; 0, Source!BC120, 1)</f>
        <v>18142.12</v>
      </c>
      <c r="O21">
        <f t="shared" si="5"/>
        <v>18142.12</v>
      </c>
      <c r="P21">
        <f>Source!AE120</f>
        <v>0</v>
      </c>
      <c r="R21">
        <f t="shared" si="6"/>
        <v>0</v>
      </c>
      <c r="S21">
        <f>Source!AE120*IF(Source!BS120&lt;&gt; 0, Source!BS120, 1)</f>
        <v>0</v>
      </c>
      <c r="T21">
        <f t="shared" si="7"/>
        <v>0</v>
      </c>
      <c r="U21">
        <v>3</v>
      </c>
      <c r="Z21">
        <f>Source!GF120</f>
        <v>1389470000</v>
      </c>
      <c r="AA21">
        <v>376563625</v>
      </c>
      <c r="AB21">
        <v>376563625</v>
      </c>
    </row>
    <row r="22" spans="1:28">
      <c r="A22">
        <f>Source!A156</f>
        <v>4</v>
      </c>
      <c r="B22">
        <v>156</v>
      </c>
      <c r="G22" t="str">
        <f>Source!G156</f>
        <v>Освещение (коридор)</v>
      </c>
    </row>
    <row r="23" spans="1:28">
      <c r="A23">
        <f>Source!A161</f>
        <v>18</v>
      </c>
      <c r="B23">
        <v>161</v>
      </c>
      <c r="C23">
        <v>3</v>
      </c>
      <c r="D23">
        <f>Source!BI161</f>
        <v>2</v>
      </c>
      <c r="E23">
        <f>Source!FS161</f>
        <v>0</v>
      </c>
      <c r="F23" t="str">
        <f>Source!F161</f>
        <v>1.1-1-58</v>
      </c>
      <c r="G23" t="str">
        <f>Source!G161</f>
        <v>Болты строительные с гайками, оцинкованные, М10х100 мм</v>
      </c>
      <c r="H23" t="str">
        <f>Source!H161</f>
        <v>т</v>
      </c>
      <c r="I23">
        <f>Source!I161</f>
        <v>4.8999999999999998E-5</v>
      </c>
      <c r="J23">
        <v>1</v>
      </c>
      <c r="K23">
        <f>Source!AC161</f>
        <v>24609.759999999998</v>
      </c>
      <c r="M23">
        <f t="shared" ref="M23:M32" si="8">ROUND(K23*I23, 2)</f>
        <v>1.21</v>
      </c>
      <c r="N23">
        <f>Source!AC161*IF(Source!BC161&lt;&gt; 0, Source!BC161, 1)</f>
        <v>85888.062399999995</v>
      </c>
      <c r="O23">
        <f t="shared" ref="O23:O32" si="9">ROUND(N23*I23, 2)</f>
        <v>4.21</v>
      </c>
      <c r="P23">
        <f>Source!AE161</f>
        <v>0</v>
      </c>
      <c r="R23">
        <f t="shared" ref="R23:R32" si="10">ROUND(P23*I23, 2)</f>
        <v>0</v>
      </c>
      <c r="S23">
        <f>Source!AE161*IF(Source!BS161&lt;&gt; 0, Source!BS161, 1)</f>
        <v>0</v>
      </c>
      <c r="T23">
        <f t="shared" ref="T23:T32" si="11">ROUND(S23*I23, 2)</f>
        <v>0</v>
      </c>
      <c r="U23">
        <v>3</v>
      </c>
      <c r="Z23">
        <f>Source!GF161</f>
        <v>-566361729</v>
      </c>
      <c r="AA23">
        <v>-1171803139</v>
      </c>
      <c r="AB23">
        <v>248530457</v>
      </c>
    </row>
    <row r="24" spans="1:28">
      <c r="A24">
        <f>Source!A162</f>
        <v>18</v>
      </c>
      <c r="B24">
        <v>162</v>
      </c>
      <c r="C24">
        <v>3</v>
      </c>
      <c r="D24">
        <f>Source!BI162</f>
        <v>2</v>
      </c>
      <c r="E24">
        <f>Source!FS162</f>
        <v>0</v>
      </c>
      <c r="F24" t="str">
        <f>Source!F162</f>
        <v>1.21-5-1037</v>
      </c>
      <c r="G24" t="str">
        <f>Source!G162</f>
        <v>Выключатель автоматический, однополюсный, типа S201, номинальный ток от 10 до 25 А</v>
      </c>
      <c r="H24" t="str">
        <f>Source!H162</f>
        <v>шт.</v>
      </c>
      <c r="I24">
        <f>Source!I162</f>
        <v>1</v>
      </c>
      <c r="J24">
        <v>1</v>
      </c>
      <c r="K24">
        <f>Source!AC162</f>
        <v>77.010000000000005</v>
      </c>
      <c r="M24">
        <f t="shared" si="8"/>
        <v>77.010000000000005</v>
      </c>
      <c r="N24">
        <f>Source!AC162*IF(Source!BC162&lt;&gt; 0, Source!BC162, 1)</f>
        <v>425.86530000000005</v>
      </c>
      <c r="O24">
        <f t="shared" si="9"/>
        <v>425.87</v>
      </c>
      <c r="P24">
        <f>Source!AE162</f>
        <v>0</v>
      </c>
      <c r="R24">
        <f t="shared" si="10"/>
        <v>0</v>
      </c>
      <c r="S24">
        <f>Source!AE162*IF(Source!BS162&lt;&gt; 0, Source!BS162, 1)</f>
        <v>0</v>
      </c>
      <c r="T24">
        <f t="shared" si="11"/>
        <v>0</v>
      </c>
      <c r="U24">
        <v>3</v>
      </c>
      <c r="Z24">
        <f>Source!GF162</f>
        <v>1623186938</v>
      </c>
      <c r="AA24">
        <v>-534671100</v>
      </c>
      <c r="AB24">
        <v>-1056264521</v>
      </c>
    </row>
    <row r="25" spans="1:28">
      <c r="A25">
        <f>Source!A168</f>
        <v>17</v>
      </c>
      <c r="B25">
        <v>168</v>
      </c>
      <c r="C25">
        <v>3</v>
      </c>
      <c r="D25">
        <f>Source!BI168</f>
        <v>2</v>
      </c>
      <c r="E25">
        <f>Source!FS168</f>
        <v>0</v>
      </c>
      <c r="F25" t="str">
        <f>Source!F168</f>
        <v>1.21-5-557</v>
      </c>
      <c r="G25" t="str">
        <f>Source!G168</f>
        <v>Лоток кабельный, оцинкованный, перфорированный, простой, без крышки, типа PNK-100</v>
      </c>
      <c r="H25" t="str">
        <f>Source!H168</f>
        <v>м</v>
      </c>
      <c r="I25">
        <f>Source!I168</f>
        <v>10</v>
      </c>
      <c r="J25">
        <v>1</v>
      </c>
      <c r="K25">
        <f>Source!AC168</f>
        <v>81.03</v>
      </c>
      <c r="M25">
        <f t="shared" si="8"/>
        <v>810.3</v>
      </c>
      <c r="N25">
        <f>Source!AC168*IF(Source!BC168&lt;&gt; 0, Source!BC168, 1)</f>
        <v>159.62909999999999</v>
      </c>
      <c r="O25">
        <f t="shared" si="9"/>
        <v>1596.29</v>
      </c>
      <c r="P25">
        <f>Source!AE168</f>
        <v>0</v>
      </c>
      <c r="R25">
        <f t="shared" si="10"/>
        <v>0</v>
      </c>
      <c r="S25">
        <f>Source!AE168*IF(Source!BS168&lt;&gt; 0, Source!BS168, 1)</f>
        <v>0</v>
      </c>
      <c r="T25">
        <f t="shared" si="11"/>
        <v>0</v>
      </c>
      <c r="U25">
        <v>3</v>
      </c>
      <c r="Z25">
        <f>Source!GF168</f>
        <v>2084787891</v>
      </c>
      <c r="AA25">
        <v>-1718826261</v>
      </c>
      <c r="AB25">
        <v>-577925926</v>
      </c>
    </row>
    <row r="26" spans="1:28">
      <c r="A26">
        <f>Source!A173</f>
        <v>17</v>
      </c>
      <c r="B26">
        <v>173</v>
      </c>
      <c r="C26">
        <v>3</v>
      </c>
      <c r="D26">
        <f>Source!BI173</f>
        <v>2</v>
      </c>
      <c r="E26">
        <f>Source!FS173</f>
        <v>0</v>
      </c>
      <c r="F26" t="str">
        <f>Source!F173</f>
        <v>1.21-5-1342</v>
      </c>
      <c r="G26" t="str">
        <f>Source!G173</f>
        <v>Крышка для лотка замкового, стальная, оцинкованная, с заземлением, толщина стали 0,6 мм, размер 3000х100х15 мм</v>
      </c>
      <c r="H26" t="str">
        <f>Source!H173</f>
        <v>шт.</v>
      </c>
      <c r="I26">
        <f>Source!I173</f>
        <v>4</v>
      </c>
      <c r="J26">
        <v>1</v>
      </c>
      <c r="K26">
        <f>Source!AC173</f>
        <v>153.37</v>
      </c>
      <c r="M26">
        <f t="shared" si="8"/>
        <v>613.48</v>
      </c>
      <c r="N26">
        <f>Source!AC173*IF(Source!BC173&lt;&gt; 0, Source!BC173, 1)</f>
        <v>561.33420000000001</v>
      </c>
      <c r="O26">
        <f t="shared" si="9"/>
        <v>2245.34</v>
      </c>
      <c r="P26">
        <f>Source!AE173</f>
        <v>0</v>
      </c>
      <c r="R26">
        <f t="shared" si="10"/>
        <v>0</v>
      </c>
      <c r="S26">
        <f>Source!AE173*IF(Source!BS173&lt;&gt; 0, Source!BS173, 1)</f>
        <v>0</v>
      </c>
      <c r="T26">
        <f t="shared" si="11"/>
        <v>0</v>
      </c>
      <c r="U26">
        <v>3</v>
      </c>
      <c r="Z26">
        <f>Source!GF173</f>
        <v>-457457168</v>
      </c>
      <c r="AA26">
        <v>-473422078</v>
      </c>
      <c r="AB26">
        <v>1518049561</v>
      </c>
    </row>
    <row r="27" spans="1:28">
      <c r="A27">
        <f>Source!A176</f>
        <v>17</v>
      </c>
      <c r="B27">
        <v>176</v>
      </c>
      <c r="C27">
        <v>3</v>
      </c>
      <c r="D27">
        <f>Source!BI176</f>
        <v>1</v>
      </c>
      <c r="E27">
        <f>Source!FS176</f>
        <v>0</v>
      </c>
      <c r="F27" t="str">
        <f>Source!F176</f>
        <v>1.3-4-176</v>
      </c>
      <c r="G27" t="str">
        <f>Source!G176</f>
        <v>Шпилька анкерная, стальная, резьбовая, оцинкованная, в комплекте с шайбой и гайкой, М12x110 мм (М8)</v>
      </c>
      <c r="H27" t="str">
        <f>Source!H176</f>
        <v>шт.</v>
      </c>
      <c r="I27">
        <f>Source!I176</f>
        <v>8</v>
      </c>
      <c r="J27">
        <v>1</v>
      </c>
      <c r="K27">
        <f>Source!AC176</f>
        <v>13.23</v>
      </c>
      <c r="M27">
        <f t="shared" si="8"/>
        <v>105.84</v>
      </c>
      <c r="N27">
        <f>Source!AC176*IF(Source!BC176&lt;&gt; 0, Source!BC176, 1)</f>
        <v>188.2629</v>
      </c>
      <c r="O27">
        <f t="shared" si="9"/>
        <v>1506.1</v>
      </c>
      <c r="P27">
        <f>Source!AE176</f>
        <v>0</v>
      </c>
      <c r="R27">
        <f t="shared" si="10"/>
        <v>0</v>
      </c>
      <c r="S27">
        <f>Source!AE176*IF(Source!BS176&lt;&gt; 0, Source!BS176, 1)</f>
        <v>0</v>
      </c>
      <c r="T27">
        <f t="shared" si="11"/>
        <v>0</v>
      </c>
      <c r="U27">
        <v>3</v>
      </c>
      <c r="Z27">
        <f>Source!GF176</f>
        <v>749468149</v>
      </c>
      <c r="AA27">
        <v>-872898190</v>
      </c>
      <c r="AB27">
        <v>-1007579701</v>
      </c>
    </row>
    <row r="28" spans="1:28">
      <c r="A28">
        <f>Source!A189</f>
        <v>17</v>
      </c>
      <c r="B28">
        <v>189</v>
      </c>
      <c r="C28">
        <v>3</v>
      </c>
      <c r="D28">
        <f>Source!BI189</f>
        <v>2</v>
      </c>
      <c r="E28">
        <f>Source!FS189</f>
        <v>0</v>
      </c>
      <c r="F28" t="str">
        <f>Source!F189</f>
        <v>1.23-8-415</v>
      </c>
      <c r="G28" t="str">
        <f>Source!G189</f>
        <v>Кабель силовой с медными жилами, с изоляцией и оболочкой из ПВХ композиций пониженной пожароопасности, с пониженным дымо- и газовыделением, марка ВВГнг(А)-LS, напряжение 1000 В, число жил и сечение 3х1,5 мм2</v>
      </c>
      <c r="H28" t="str">
        <f>Source!H189</f>
        <v>км</v>
      </c>
      <c r="I28">
        <f>Source!I189</f>
        <v>5.1499999999999997E-2</v>
      </c>
      <c r="J28">
        <v>1</v>
      </c>
      <c r="K28">
        <f>Source!AC189</f>
        <v>7644.98</v>
      </c>
      <c r="M28">
        <f t="shared" si="8"/>
        <v>393.72</v>
      </c>
      <c r="N28">
        <f>Source!AC189*IF(Source!BC189&lt;&gt; 0, Source!BC189, 1)</f>
        <v>7644.98</v>
      </c>
      <c r="O28">
        <f t="shared" si="9"/>
        <v>393.72</v>
      </c>
      <c r="P28">
        <f>Source!AE189</f>
        <v>0</v>
      </c>
      <c r="R28">
        <f t="shared" si="10"/>
        <v>0</v>
      </c>
      <c r="S28">
        <f>Source!AE189*IF(Source!BS189&lt;&gt; 0, Source!BS189, 1)</f>
        <v>0</v>
      </c>
      <c r="T28">
        <f t="shared" si="11"/>
        <v>0</v>
      </c>
      <c r="U28">
        <v>3</v>
      </c>
      <c r="Z28">
        <f>Source!GF189</f>
        <v>1700439602</v>
      </c>
      <c r="AA28">
        <v>-1731386994</v>
      </c>
      <c r="AB28">
        <v>-1731386994</v>
      </c>
    </row>
    <row r="29" spans="1:28">
      <c r="A29">
        <f>Source!A192</f>
        <v>17</v>
      </c>
      <c r="B29">
        <v>192</v>
      </c>
      <c r="C29">
        <v>3</v>
      </c>
      <c r="D29">
        <f>Source!BI192</f>
        <v>2</v>
      </c>
      <c r="E29">
        <f>Source!FS192</f>
        <v>0</v>
      </c>
      <c r="F29" t="str">
        <f>Source!F192</f>
        <v>1.22-8-16</v>
      </c>
      <c r="G29" t="str">
        <f>Source!G192</f>
        <v>Светильник светодиодный потолочный накладной, световой поток 7910 лм, цветовая температура от 3500 до 4500 К, мощность 63 Вт, степень защиты IP65, с микро-призматическим экраном, алюминиевый корпус с анодированным покрытием, размеры 1189х76х56 мм, для общественных зданий и наружного освещения</v>
      </c>
      <c r="H29" t="str">
        <f>Source!H192</f>
        <v>шт.</v>
      </c>
      <c r="I29">
        <f>Source!I192</f>
        <v>5</v>
      </c>
      <c r="J29">
        <v>1</v>
      </c>
      <c r="K29">
        <f>Source!AC192</f>
        <v>1390.42</v>
      </c>
      <c r="M29">
        <f t="shared" si="8"/>
        <v>6952.1</v>
      </c>
      <c r="N29">
        <f>Source!AC192*IF(Source!BC192&lt;&gt; 0, Source!BC192, 1)</f>
        <v>8537.1787999999997</v>
      </c>
      <c r="O29">
        <f t="shared" si="9"/>
        <v>42685.89</v>
      </c>
      <c r="P29">
        <f>Source!AE192</f>
        <v>0</v>
      </c>
      <c r="R29">
        <f t="shared" si="10"/>
        <v>0</v>
      </c>
      <c r="S29">
        <f>Source!AE192*IF(Source!BS192&lt;&gt; 0, Source!BS192, 1)</f>
        <v>0</v>
      </c>
      <c r="T29">
        <f t="shared" si="11"/>
        <v>0</v>
      </c>
      <c r="U29">
        <v>3</v>
      </c>
      <c r="Z29">
        <f>Source!GF192</f>
        <v>-1325244320</v>
      </c>
      <c r="AA29">
        <v>-1481465289</v>
      </c>
      <c r="AB29">
        <v>876032299</v>
      </c>
    </row>
    <row r="30" spans="1:28">
      <c r="A30">
        <f>Source!A194</f>
        <v>18</v>
      </c>
      <c r="B30">
        <v>194</v>
      </c>
      <c r="C30">
        <v>3</v>
      </c>
      <c r="D30">
        <f>Source!BI194</f>
        <v>2</v>
      </c>
      <c r="E30">
        <f>Source!FS194</f>
        <v>0</v>
      </c>
      <c r="F30" t="str">
        <f>Source!F194</f>
        <v>1.21-5-923</v>
      </c>
      <c r="G30" t="str">
        <f>Source!G194</f>
        <v>Коробка распределительная, пластиковая, открытой проводки, 6 выводов, с сальниками, степень защиты IP55, размеры 100х100х55 мм</v>
      </c>
      <c r="H30" t="str">
        <f>Source!H194</f>
        <v>шт.</v>
      </c>
      <c r="I30">
        <f>Source!I194</f>
        <v>5</v>
      </c>
      <c r="J30">
        <v>1</v>
      </c>
      <c r="K30">
        <f>Source!AC194</f>
        <v>21.62</v>
      </c>
      <c r="M30">
        <f t="shared" si="8"/>
        <v>108.1</v>
      </c>
      <c r="N30">
        <f>Source!AC194*IF(Source!BC194&lt;&gt; 0, Source!BC194, 1)</f>
        <v>117.82900000000001</v>
      </c>
      <c r="O30">
        <f t="shared" si="9"/>
        <v>589.15</v>
      </c>
      <c r="P30">
        <f>Source!AE194</f>
        <v>0</v>
      </c>
      <c r="R30">
        <f t="shared" si="10"/>
        <v>0</v>
      </c>
      <c r="S30">
        <f>Source!AE194*IF(Source!BS194&lt;&gt; 0, Source!BS194, 1)</f>
        <v>0</v>
      </c>
      <c r="T30">
        <f t="shared" si="11"/>
        <v>0</v>
      </c>
      <c r="U30">
        <v>3</v>
      </c>
      <c r="Z30">
        <f>Source!GF194</f>
        <v>-126535965</v>
      </c>
      <c r="AA30">
        <v>-1380351308</v>
      </c>
      <c r="AB30">
        <v>1683514540</v>
      </c>
    </row>
    <row r="31" spans="1:28">
      <c r="A31">
        <f>Source!A199</f>
        <v>18</v>
      </c>
      <c r="B31">
        <v>199</v>
      </c>
      <c r="C31">
        <v>3</v>
      </c>
      <c r="D31">
        <f>Source!BI199</f>
        <v>1</v>
      </c>
      <c r="E31">
        <f>Source!FS199</f>
        <v>0</v>
      </c>
      <c r="F31" t="str">
        <f>Source!F199</f>
        <v>1.7-3-2</v>
      </c>
      <c r="G31" t="str">
        <f>Source!G199</f>
        <v>Сверло с алмазным покрытием, диаметр 20 мм</v>
      </c>
      <c r="H31" t="str">
        <f>Source!H199</f>
        <v>шт.</v>
      </c>
      <c r="I31">
        <f>Source!I199</f>
        <v>1</v>
      </c>
      <c r="J31">
        <v>1</v>
      </c>
      <c r="K31">
        <f>Source!AC199</f>
        <v>378.22</v>
      </c>
      <c r="M31">
        <f t="shared" si="8"/>
        <v>378.22</v>
      </c>
      <c r="N31">
        <f>Source!AC199*IF(Source!BC199&lt;&gt; 0, Source!BC199, 1)</f>
        <v>389.56660000000005</v>
      </c>
      <c r="O31">
        <f t="shared" si="9"/>
        <v>389.57</v>
      </c>
      <c r="P31">
        <f>Source!AE199</f>
        <v>0</v>
      </c>
      <c r="R31">
        <f t="shared" si="10"/>
        <v>0</v>
      </c>
      <c r="S31">
        <f>Source!AE199*IF(Source!BS199&lt;&gt; 0, Source!BS199, 1)</f>
        <v>0</v>
      </c>
      <c r="T31">
        <f t="shared" si="11"/>
        <v>0</v>
      </c>
      <c r="U31">
        <v>3</v>
      </c>
      <c r="Z31">
        <f>Source!GF199</f>
        <v>50041391</v>
      </c>
      <c r="AA31">
        <v>1789430590</v>
      </c>
      <c r="AB31">
        <v>-1692791225</v>
      </c>
    </row>
    <row r="32" spans="1:28">
      <c r="A32">
        <f>Source!A203</f>
        <v>17</v>
      </c>
      <c r="B32">
        <v>203</v>
      </c>
      <c r="C32">
        <v>3</v>
      </c>
      <c r="D32">
        <f>Source!BI203</f>
        <v>1</v>
      </c>
      <c r="E32">
        <f>Source!FS203</f>
        <v>0</v>
      </c>
      <c r="F32" t="str">
        <f>Source!F203</f>
        <v>1.12-6-2</v>
      </c>
      <c r="G32" t="str">
        <f>Source!G203</f>
        <v>Трубы стальные электросварные прямошовные, ГОСТ 10705-80, ГОСТ 10704-91, наружный диаметр 15 мм, толщина стенки 1,5 мм</v>
      </c>
      <c r="H32" t="str">
        <f>Source!H203</f>
        <v>м</v>
      </c>
      <c r="I32">
        <f>Source!I203</f>
        <v>0.25</v>
      </c>
      <c r="J32">
        <v>1</v>
      </c>
      <c r="K32">
        <f>Source!AC203</f>
        <v>6.8</v>
      </c>
      <c r="M32">
        <f t="shared" si="8"/>
        <v>1.7</v>
      </c>
      <c r="N32">
        <f>Source!AC203*IF(Source!BC203&lt;&gt; 0, Source!BC203, 1)</f>
        <v>28.423999999999996</v>
      </c>
      <c r="O32">
        <f t="shared" si="9"/>
        <v>7.11</v>
      </c>
      <c r="P32">
        <f>Source!AE203</f>
        <v>0</v>
      </c>
      <c r="R32">
        <f t="shared" si="10"/>
        <v>0</v>
      </c>
      <c r="S32">
        <f>Source!AE203*IF(Source!BS203&lt;&gt; 0, Source!BS203, 1)</f>
        <v>0</v>
      </c>
      <c r="T32">
        <f t="shared" si="11"/>
        <v>0</v>
      </c>
      <c r="U32">
        <v>3</v>
      </c>
      <c r="Z32">
        <f>Source!GF203</f>
        <v>987211594</v>
      </c>
      <c r="AA32">
        <v>-1079696039</v>
      </c>
      <c r="AB32">
        <v>-330361594</v>
      </c>
    </row>
    <row r="33" spans="1:1">
      <c r="A33">
        <v>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42"/>
  <sheetViews>
    <sheetView workbookViewId="0">
      <selection activeCell="H15" sqref="H15"/>
    </sheetView>
  </sheetViews>
  <sheetFormatPr defaultRowHeight="12.75"/>
  <cols>
    <col min="1" max="1" width="18.7109375" customWidth="1"/>
    <col min="2" max="2" width="40.7109375" customWidth="1"/>
    <col min="3" max="6" width="12.7109375" customWidth="1"/>
    <col min="15" max="15" width="54.28515625" hidden="1" customWidth="1"/>
    <col min="16" max="18" width="0" hidden="1" customWidth="1"/>
  </cols>
  <sheetData>
    <row r="2" spans="1:17" ht="16.5">
      <c r="A2" s="81" t="s">
        <v>563</v>
      </c>
      <c r="B2" s="82"/>
      <c r="C2" s="82"/>
      <c r="D2" s="82"/>
      <c r="E2" s="82"/>
      <c r="F2" s="82"/>
    </row>
    <row r="3" spans="1:17" ht="49.5">
      <c r="A3" s="81" t="s">
        <v>575</v>
      </c>
      <c r="B3" s="82"/>
      <c r="C3" s="82"/>
      <c r="D3" s="82"/>
      <c r="E3" s="82"/>
      <c r="F3" s="82"/>
      <c r="O3" s="51" t="s">
        <v>564</v>
      </c>
    </row>
    <row r="4" spans="1:17">
      <c r="A4" s="83" t="s">
        <v>565</v>
      </c>
      <c r="B4" s="83" t="s">
        <v>566</v>
      </c>
      <c r="C4" s="83" t="s">
        <v>515</v>
      </c>
      <c r="D4" s="83" t="s">
        <v>567</v>
      </c>
      <c r="E4" s="86" t="s">
        <v>568</v>
      </c>
      <c r="F4" s="87"/>
    </row>
    <row r="5" spans="1:17">
      <c r="A5" s="84"/>
      <c r="B5" s="84"/>
      <c r="C5" s="84"/>
      <c r="D5" s="84"/>
      <c r="E5" s="88"/>
      <c r="F5" s="89"/>
    </row>
    <row r="6" spans="1:17" ht="14.25">
      <c r="A6" s="85"/>
      <c r="B6" s="85"/>
      <c r="C6" s="85"/>
      <c r="D6" s="85"/>
      <c r="E6" s="20" t="s">
        <v>569</v>
      </c>
      <c r="F6" s="20" t="s">
        <v>570</v>
      </c>
    </row>
    <row r="7" spans="1:17" ht="14.25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</row>
    <row r="8" spans="1:17" ht="16.5">
      <c r="A8" s="81"/>
      <c r="B8" s="82"/>
      <c r="C8" s="82"/>
      <c r="D8" s="82"/>
      <c r="E8" s="82"/>
      <c r="F8" s="82"/>
    </row>
    <row r="9" spans="1:17" ht="16.5">
      <c r="A9" s="81" t="str">
        <f>CONCATENATE("Раздел: ",IF(Source!G26&lt;&gt;"Новый раздел", Source!G26, ""))</f>
        <v>Раздел: Читальный зал (щитовое оборудование)</v>
      </c>
      <c r="B9" s="82"/>
      <c r="C9" s="82"/>
      <c r="D9" s="82"/>
      <c r="E9" s="82"/>
      <c r="F9" s="82"/>
    </row>
    <row r="10" spans="1:17" ht="14.25">
      <c r="A10" s="79" t="s">
        <v>571</v>
      </c>
      <c r="B10" s="80"/>
      <c r="C10" s="80"/>
      <c r="D10" s="80"/>
      <c r="E10" s="80"/>
      <c r="F10" s="80"/>
    </row>
    <row r="11" spans="1:17" ht="28.5">
      <c r="A11" s="52" t="s">
        <v>64</v>
      </c>
      <c r="B11" s="44" t="s">
        <v>65</v>
      </c>
      <c r="C11" s="44" t="s">
        <v>39</v>
      </c>
      <c r="D11" s="45">
        <f>ROUND(SUMIF(RV_DATA!AA8:AA14, -1171803139, RV_DATA!I8:I14), 6)</f>
        <v>9.1299999999999997E-4</v>
      </c>
      <c r="E11" s="53">
        <f>ROUND(RV_DATA!K9, 6)</f>
        <v>24609.759999999998</v>
      </c>
      <c r="F11" s="53">
        <f>ROUND(SUMIF(RV_DATA!AA8:AA14, -1171803139, RV_DATA!M8:M14), 6)</f>
        <v>22.47</v>
      </c>
      <c r="Q11">
        <v>3</v>
      </c>
    </row>
    <row r="12" spans="1:17" ht="28.5">
      <c r="A12" s="52" t="s">
        <v>69</v>
      </c>
      <c r="B12" s="44" t="s">
        <v>70</v>
      </c>
      <c r="C12" s="44" t="s">
        <v>32</v>
      </c>
      <c r="D12" s="45">
        <f>ROUND(SUMIF(RV_DATA!AA8:AA14, -480438661, RV_DATA!I8:I14), 6)</f>
        <v>61</v>
      </c>
      <c r="E12" s="53">
        <f>ROUND(RV_DATA!K10, 6)</f>
        <v>3.9</v>
      </c>
      <c r="F12" s="53">
        <f>ROUND(SUMIF(RV_DATA!AA8:AA14, -480438661, RV_DATA!M8:M14), 6)</f>
        <v>237.9</v>
      </c>
      <c r="Q12">
        <v>3</v>
      </c>
    </row>
    <row r="13" spans="1:17" ht="15">
      <c r="A13" s="90" t="s">
        <v>572</v>
      </c>
      <c r="B13" s="90"/>
      <c r="C13" s="90"/>
      <c r="D13" s="90"/>
      <c r="E13" s="91">
        <f>SUMIF(Q11:Q12, 3, F11:F12)</f>
        <v>260.37</v>
      </c>
      <c r="F13" s="91"/>
    </row>
    <row r="14" spans="1:17" ht="14.25">
      <c r="A14" s="79" t="s">
        <v>573</v>
      </c>
      <c r="B14" s="80"/>
      <c r="C14" s="80"/>
      <c r="D14" s="80"/>
      <c r="E14" s="80"/>
      <c r="F14" s="80"/>
    </row>
    <row r="15" spans="1:17" ht="14.25">
      <c r="A15" s="52" t="s">
        <v>51</v>
      </c>
      <c r="B15" s="44" t="s">
        <v>52</v>
      </c>
      <c r="C15" s="44" t="s">
        <v>32</v>
      </c>
      <c r="D15" s="45">
        <f>ROUND(SUMIF(RV_DATA!AA8:AA14, -954063356, RV_DATA!I8:I14), 6)</f>
        <v>1</v>
      </c>
      <c r="E15" s="53">
        <f>ROUND(RV_DATA!K8, 6)</f>
        <v>6455.55</v>
      </c>
      <c r="F15" s="53">
        <f>ROUND(SUMIF(RV_DATA!AA8:AA14, -954063356, RV_DATA!M8:M14), 6)</f>
        <v>6455.55</v>
      </c>
      <c r="Q15">
        <v>5</v>
      </c>
    </row>
    <row r="16" spans="1:17" ht="28.5">
      <c r="A16" s="52" t="s">
        <v>51</v>
      </c>
      <c r="B16" s="44" t="s">
        <v>87</v>
      </c>
      <c r="C16" s="44" t="s">
        <v>32</v>
      </c>
      <c r="D16" s="45">
        <f>ROUND(SUMIF(RV_DATA!AA8:AA14, 276507926, RV_DATA!I8:I14), 6)</f>
        <v>1</v>
      </c>
      <c r="E16" s="53">
        <f>ROUND(RV_DATA!K12, 6)</f>
        <v>5813.94</v>
      </c>
      <c r="F16" s="53">
        <f>ROUND(SUMIF(RV_DATA!AA8:AA14, 276507926, RV_DATA!M8:M14), 6)</f>
        <v>5813.94</v>
      </c>
      <c r="Q16">
        <v>5</v>
      </c>
    </row>
    <row r="17" spans="1:17" ht="14.25">
      <c r="A17" s="52" t="s">
        <v>51</v>
      </c>
      <c r="B17" s="44" t="s">
        <v>107</v>
      </c>
      <c r="C17" s="44" t="s">
        <v>32</v>
      </c>
      <c r="D17" s="45">
        <f>ROUND(SUMIF(RV_DATA!AA8:AA14, 1787705733, RV_DATA!I8:I14), 6)</f>
        <v>1</v>
      </c>
      <c r="E17" s="53">
        <f>ROUND(RV_DATA!K14, 6)</f>
        <v>3920.49</v>
      </c>
      <c r="F17" s="53">
        <f>ROUND(SUMIF(RV_DATA!AA8:AA14, 1787705733, RV_DATA!M8:M14), 6)</f>
        <v>3920.49</v>
      </c>
      <c r="Q17">
        <v>5</v>
      </c>
    </row>
    <row r="18" spans="1:17" ht="15">
      <c r="A18" s="90" t="s">
        <v>574</v>
      </c>
      <c r="B18" s="90"/>
      <c r="C18" s="90"/>
      <c r="D18" s="90"/>
      <c r="E18" s="91">
        <f>SUMIF(Q15:Q17, 5, F15:F17)</f>
        <v>16189.98</v>
      </c>
      <c r="F18" s="91"/>
    </row>
    <row r="19" spans="1:17" ht="16.5">
      <c r="A19" s="81" t="str">
        <f>CONCATENATE("Раздел: ",IF(Source!G93&lt;&gt;"Новый раздел", Source!G93, ""))</f>
        <v>Раздел: Установка воздушной завесы</v>
      </c>
      <c r="B19" s="82"/>
      <c r="C19" s="82"/>
      <c r="D19" s="82"/>
      <c r="E19" s="82"/>
      <c r="F19" s="82"/>
    </row>
    <row r="20" spans="1:17" ht="14.25">
      <c r="A20" s="79" t="s">
        <v>571</v>
      </c>
      <c r="B20" s="80"/>
      <c r="C20" s="80"/>
      <c r="D20" s="80"/>
      <c r="E20" s="80"/>
      <c r="F20" s="80"/>
    </row>
    <row r="21" spans="1:17" ht="14.25">
      <c r="A21" s="52" t="s">
        <v>229</v>
      </c>
      <c r="B21" s="44" t="s">
        <v>230</v>
      </c>
      <c r="C21" s="44" t="s">
        <v>215</v>
      </c>
      <c r="D21" s="45">
        <f>ROUND(SUMIF(RV_DATA!AA16:AA21, -1461804562, RV_DATA!I16:I21), 6)</f>
        <v>30</v>
      </c>
      <c r="E21" s="53">
        <f>ROUND(RV_DATA!K19, 6)</f>
        <v>16.739999999999998</v>
      </c>
      <c r="F21" s="53">
        <f>ROUND(SUMIF(RV_DATA!AA16:AA21, -1461804562, RV_DATA!M16:M21), 6)</f>
        <v>502.2</v>
      </c>
      <c r="Q21">
        <v>3</v>
      </c>
    </row>
    <row r="22" spans="1:17" ht="28.5">
      <c r="A22" s="52" t="s">
        <v>64</v>
      </c>
      <c r="B22" s="44" t="s">
        <v>65</v>
      </c>
      <c r="C22" s="44" t="s">
        <v>39</v>
      </c>
      <c r="D22" s="45">
        <f>ROUND(SUMIF(RV_DATA!AA16:AA21, -1171803139, RV_DATA!I16:I21), 6)</f>
        <v>4.8999999999999998E-5</v>
      </c>
      <c r="E22" s="53">
        <f>ROUND(RV_DATA!K17, 6)</f>
        <v>24609.759999999998</v>
      </c>
      <c r="F22" s="53">
        <f>ROUND(SUMIF(RV_DATA!AA16:AA21, -1171803139, RV_DATA!M16:M21), 6)</f>
        <v>1.21</v>
      </c>
      <c r="Q22">
        <v>3</v>
      </c>
    </row>
    <row r="23" spans="1:17" ht="28.5">
      <c r="A23" s="52" t="s">
        <v>51</v>
      </c>
      <c r="B23" s="44" t="s">
        <v>195</v>
      </c>
      <c r="C23" s="44" t="s">
        <v>32</v>
      </c>
      <c r="D23" s="45">
        <f>ROUND(SUMIF(RV_DATA!AA16:AA21, 534877541, RV_DATA!I16:I21), 6)</f>
        <v>1</v>
      </c>
      <c r="E23" s="53">
        <f>ROUND(RV_DATA!K16, 6)</f>
        <v>2522.46</v>
      </c>
      <c r="F23" s="53">
        <f>ROUND(SUMIF(RV_DATA!AA16:AA21, 534877541, RV_DATA!M16:M21), 6)</f>
        <v>2522.46</v>
      </c>
      <c r="Q23">
        <v>3</v>
      </c>
    </row>
    <row r="24" spans="1:17" ht="14.25">
      <c r="A24" s="52" t="s">
        <v>51</v>
      </c>
      <c r="B24" s="44" t="s">
        <v>244</v>
      </c>
      <c r="C24" s="44" t="s">
        <v>215</v>
      </c>
      <c r="D24" s="45">
        <f>ROUND(SUMIF(RV_DATA!AA16:AA21, -867320546, RV_DATA!I16:I21), 6)</f>
        <v>31.62</v>
      </c>
      <c r="E24" s="53">
        <f>ROUND(RV_DATA!K20, 6)</f>
        <v>383.52</v>
      </c>
      <c r="F24" s="53">
        <f>ROUND(SUMIF(RV_DATA!AA16:AA21, -867320546, RV_DATA!M16:M21), 6)</f>
        <v>12126.9</v>
      </c>
      <c r="Q24">
        <v>3</v>
      </c>
    </row>
    <row r="25" spans="1:17" ht="15">
      <c r="A25" s="90" t="s">
        <v>572</v>
      </c>
      <c r="B25" s="90"/>
      <c r="C25" s="90"/>
      <c r="D25" s="90"/>
      <c r="E25" s="91">
        <f>SUMIF(Q21:Q24, 3, F21:F24)</f>
        <v>15152.77</v>
      </c>
      <c r="F25" s="91"/>
    </row>
    <row r="26" spans="1:17" ht="14.25">
      <c r="A26" s="79" t="s">
        <v>573</v>
      </c>
      <c r="B26" s="80"/>
      <c r="C26" s="80"/>
      <c r="D26" s="80"/>
      <c r="E26" s="80"/>
      <c r="F26" s="80"/>
    </row>
    <row r="27" spans="1:17" ht="28.5">
      <c r="A27" s="52" t="s">
        <v>51</v>
      </c>
      <c r="B27" s="44" t="s">
        <v>205</v>
      </c>
      <c r="C27" s="44" t="s">
        <v>32</v>
      </c>
      <c r="D27" s="45">
        <f>ROUND(SUMIF(RV_DATA!AA16:AA21, 1871099775, RV_DATA!I16:I21), 6)</f>
        <v>1</v>
      </c>
      <c r="E27" s="53">
        <f>ROUND(RV_DATA!K18, 6)</f>
        <v>999.86</v>
      </c>
      <c r="F27" s="53">
        <f>ROUND(SUMIF(RV_DATA!AA16:AA21, 1871099775, RV_DATA!M16:M21), 6)</f>
        <v>999.86</v>
      </c>
      <c r="Q27">
        <v>5</v>
      </c>
    </row>
    <row r="28" spans="1:17" ht="28.5">
      <c r="A28" s="52" t="s">
        <v>51</v>
      </c>
      <c r="B28" s="44" t="s">
        <v>260</v>
      </c>
      <c r="C28" s="44" t="s">
        <v>32</v>
      </c>
      <c r="D28" s="45">
        <f>ROUND(SUMIF(RV_DATA!AA16:AA21, 376563625, RV_DATA!I16:I21), 6)</f>
        <v>1</v>
      </c>
      <c r="E28" s="53">
        <f>ROUND(RV_DATA!K21, 6)</f>
        <v>18142.12</v>
      </c>
      <c r="F28" s="53">
        <f>ROUND(SUMIF(RV_DATA!AA16:AA21, 376563625, RV_DATA!M16:M21), 6)</f>
        <v>18142.12</v>
      </c>
      <c r="Q28">
        <v>5</v>
      </c>
    </row>
    <row r="29" spans="1:17" ht="15">
      <c r="A29" s="90" t="s">
        <v>574</v>
      </c>
      <c r="B29" s="90"/>
      <c r="C29" s="90"/>
      <c r="D29" s="90"/>
      <c r="E29" s="91">
        <f>SUMIF(Q27:Q28, 5, F27:F28)</f>
        <v>19141.98</v>
      </c>
      <c r="F29" s="91"/>
    </row>
    <row r="30" spans="1:17" ht="16.5">
      <c r="A30" s="81" t="str">
        <f>CONCATENATE("Раздел: ",IF(Source!G158&lt;&gt;"Новый раздел", Source!G158, ""))</f>
        <v>Раздел: Освещение (коридор)</v>
      </c>
      <c r="B30" s="82"/>
      <c r="C30" s="82"/>
      <c r="D30" s="82"/>
      <c r="E30" s="82"/>
      <c r="F30" s="82"/>
    </row>
    <row r="31" spans="1:17" ht="14.25">
      <c r="A31" s="79" t="s">
        <v>571</v>
      </c>
      <c r="B31" s="80"/>
      <c r="C31" s="80"/>
      <c r="D31" s="80"/>
      <c r="E31" s="80"/>
      <c r="F31" s="80"/>
    </row>
    <row r="32" spans="1:17" ht="28.5">
      <c r="A32" s="52" t="s">
        <v>64</v>
      </c>
      <c r="B32" s="44" t="s">
        <v>65</v>
      </c>
      <c r="C32" s="44" t="s">
        <v>39</v>
      </c>
      <c r="D32" s="45">
        <f>ROUND(SUMIF(RV_DATA!AA23:AA32, -1171803139, RV_DATA!I23:I32), 6)</f>
        <v>4.8999999999999998E-5</v>
      </c>
      <c r="E32" s="53">
        <f>ROUND(RV_DATA!K23, 6)</f>
        <v>24609.759999999998</v>
      </c>
      <c r="F32" s="53">
        <f>ROUND(SUMIF(RV_DATA!AA23:AA32, -1171803139, RV_DATA!M23:M32), 6)</f>
        <v>1.21</v>
      </c>
      <c r="Q32">
        <v>3</v>
      </c>
    </row>
    <row r="33" spans="1:17" ht="57">
      <c r="A33" s="52" t="s">
        <v>403</v>
      </c>
      <c r="B33" s="44" t="s">
        <v>404</v>
      </c>
      <c r="C33" s="44" t="s">
        <v>215</v>
      </c>
      <c r="D33" s="45">
        <f>ROUND(SUMIF(RV_DATA!AA23:AA32, -1079696039, RV_DATA!I23:I32), 6)</f>
        <v>0.25</v>
      </c>
      <c r="E33" s="53">
        <f>ROUND(RV_DATA!K32, 6)</f>
        <v>6.8</v>
      </c>
      <c r="F33" s="53">
        <f>ROUND(SUMIF(RV_DATA!AA23:AA32, -1079696039, RV_DATA!M23:M32), 6)</f>
        <v>1.7</v>
      </c>
      <c r="Q33">
        <v>3</v>
      </c>
    </row>
    <row r="34" spans="1:17" ht="42.75">
      <c r="A34" s="52" t="s">
        <v>270</v>
      </c>
      <c r="B34" s="44" t="s">
        <v>271</v>
      </c>
      <c r="C34" s="44" t="s">
        <v>32</v>
      </c>
      <c r="D34" s="45">
        <f>ROUND(SUMIF(RV_DATA!AA23:AA32, -534671100, RV_DATA!I23:I32), 6)</f>
        <v>1</v>
      </c>
      <c r="E34" s="53">
        <f>ROUND(RV_DATA!K24, 6)</f>
        <v>77.010000000000005</v>
      </c>
      <c r="F34" s="53">
        <f>ROUND(SUMIF(RV_DATA!AA23:AA32, -534671100, RV_DATA!M23:M32), 6)</f>
        <v>77.010000000000005</v>
      </c>
      <c r="Q34">
        <v>3</v>
      </c>
    </row>
    <row r="35" spans="1:17" ht="57">
      <c r="A35" s="52" t="s">
        <v>312</v>
      </c>
      <c r="B35" s="44" t="s">
        <v>313</v>
      </c>
      <c r="C35" s="44" t="s">
        <v>32</v>
      </c>
      <c r="D35" s="45">
        <f>ROUND(SUMIF(RV_DATA!AA23:AA32, -473422078, RV_DATA!I23:I32), 6)</f>
        <v>4</v>
      </c>
      <c r="E35" s="53">
        <f>ROUND(RV_DATA!K26, 6)</f>
        <v>153.37</v>
      </c>
      <c r="F35" s="53">
        <f>ROUND(SUMIF(RV_DATA!AA23:AA32, -473422078, RV_DATA!M23:M32), 6)</f>
        <v>613.48</v>
      </c>
      <c r="Q35">
        <v>3</v>
      </c>
    </row>
    <row r="36" spans="1:17" ht="42.75">
      <c r="A36" s="52" t="s">
        <v>291</v>
      </c>
      <c r="B36" s="44" t="s">
        <v>292</v>
      </c>
      <c r="C36" s="44" t="s">
        <v>215</v>
      </c>
      <c r="D36" s="45">
        <f>ROUND(SUMIF(RV_DATA!AA23:AA32, -1718826261, RV_DATA!I23:I32), 6)</f>
        <v>10</v>
      </c>
      <c r="E36" s="53">
        <f>ROUND(RV_DATA!K25, 6)</f>
        <v>81.03</v>
      </c>
      <c r="F36" s="53">
        <f>ROUND(SUMIF(RV_DATA!AA23:AA32, -1718826261, RV_DATA!M23:M32), 6)</f>
        <v>810.3</v>
      </c>
      <c r="Q36">
        <v>3</v>
      </c>
    </row>
    <row r="37" spans="1:17" ht="57">
      <c r="A37" s="52" t="s">
        <v>363</v>
      </c>
      <c r="B37" s="44" t="s">
        <v>364</v>
      </c>
      <c r="C37" s="44" t="s">
        <v>32</v>
      </c>
      <c r="D37" s="45">
        <f>ROUND(SUMIF(RV_DATA!AA23:AA32, -1380351308, RV_DATA!I23:I32), 6)</f>
        <v>5</v>
      </c>
      <c r="E37" s="53">
        <f>ROUND(RV_DATA!K30, 6)</f>
        <v>21.62</v>
      </c>
      <c r="F37" s="53">
        <f>ROUND(SUMIF(RV_DATA!AA23:AA32, -1380351308, RV_DATA!M23:M32), 6)</f>
        <v>108.1</v>
      </c>
      <c r="Q37">
        <v>3</v>
      </c>
    </row>
    <row r="38" spans="1:17" ht="128.25">
      <c r="A38" s="52" t="s">
        <v>356</v>
      </c>
      <c r="B38" s="44" t="s">
        <v>457</v>
      </c>
      <c r="C38" s="44" t="s">
        <v>32</v>
      </c>
      <c r="D38" s="45">
        <f>ROUND(SUMIF(RV_DATA!AA23:AA32, -1481465289, RV_DATA!I23:I32), 6)</f>
        <v>5</v>
      </c>
      <c r="E38" s="53">
        <f>ROUND(RV_DATA!K29, 6)</f>
        <v>1390.42</v>
      </c>
      <c r="F38" s="53">
        <f>ROUND(SUMIF(RV_DATA!AA23:AA32, -1481465289, RV_DATA!M23:M32), 6)</f>
        <v>6952.1</v>
      </c>
      <c r="Q38">
        <v>3</v>
      </c>
    </row>
    <row r="39" spans="1:17" ht="99.75">
      <c r="A39" s="52" t="s">
        <v>345</v>
      </c>
      <c r="B39" s="44" t="s">
        <v>346</v>
      </c>
      <c r="C39" s="44" t="s">
        <v>242</v>
      </c>
      <c r="D39" s="45">
        <f>ROUND(SUMIF(RV_DATA!AA23:AA32, -1731386994, RV_DATA!I23:I32), 6)</f>
        <v>5.1499999999999997E-2</v>
      </c>
      <c r="E39" s="53">
        <f>ROUND(RV_DATA!K28, 6)</f>
        <v>7644.98</v>
      </c>
      <c r="F39" s="53">
        <f>ROUND(SUMIF(RV_DATA!AA23:AA32, -1731386994, RV_DATA!M23:M32), 6)</f>
        <v>393.72</v>
      </c>
      <c r="Q39">
        <v>3</v>
      </c>
    </row>
    <row r="40" spans="1:17" ht="42.75">
      <c r="A40" s="52" t="s">
        <v>326</v>
      </c>
      <c r="B40" s="44" t="s">
        <v>327</v>
      </c>
      <c r="C40" s="44" t="s">
        <v>32</v>
      </c>
      <c r="D40" s="45">
        <f>ROUND(SUMIF(RV_DATA!AA23:AA32, -872898190, RV_DATA!I23:I32), 6)</f>
        <v>8</v>
      </c>
      <c r="E40" s="53">
        <f>ROUND(RV_DATA!K27, 6)</f>
        <v>13.23</v>
      </c>
      <c r="F40" s="53">
        <f>ROUND(SUMIF(RV_DATA!AA23:AA32, -872898190, RV_DATA!M23:M32), 6)</f>
        <v>105.84</v>
      </c>
      <c r="Q40">
        <v>3</v>
      </c>
    </row>
    <row r="41" spans="1:17" ht="28.5">
      <c r="A41" s="52" t="s">
        <v>384</v>
      </c>
      <c r="B41" s="44" t="s">
        <v>385</v>
      </c>
      <c r="C41" s="44" t="s">
        <v>32</v>
      </c>
      <c r="D41" s="45">
        <f>ROUND(SUMIF(RV_DATA!AA23:AA32, 1789430590, RV_DATA!I23:I32), 6)</f>
        <v>1</v>
      </c>
      <c r="E41" s="53">
        <f>ROUND(RV_DATA!K31, 6)</f>
        <v>378.22</v>
      </c>
      <c r="F41" s="53">
        <f>ROUND(SUMIF(RV_DATA!AA23:AA32, 1789430590, RV_DATA!M23:M32), 6)</f>
        <v>378.22</v>
      </c>
      <c r="Q41">
        <v>3</v>
      </c>
    </row>
    <row r="42" spans="1:17" ht="15">
      <c r="A42" s="90" t="s">
        <v>572</v>
      </c>
      <c r="B42" s="90"/>
      <c r="C42" s="90"/>
      <c r="D42" s="90"/>
      <c r="E42" s="91">
        <f>SUMIF(Q32:Q41, 3, F32:F41)</f>
        <v>9441.6799999999985</v>
      </c>
      <c r="F42" s="91"/>
    </row>
  </sheetData>
  <sortState ref="A32:R41">
    <sortCondition ref="A32"/>
  </sortState>
  <mergeCells count="26">
    <mergeCell ref="A42:D42"/>
    <mergeCell ref="E42:F42"/>
    <mergeCell ref="A18:D18"/>
    <mergeCell ref="E18:F18"/>
    <mergeCell ref="A19:F19"/>
    <mergeCell ref="A20:F20"/>
    <mergeCell ref="A25:D25"/>
    <mergeCell ref="E25:F25"/>
    <mergeCell ref="A26:F26"/>
    <mergeCell ref="A29:D29"/>
    <mergeCell ref="E29:F29"/>
    <mergeCell ref="A30:F30"/>
    <mergeCell ref="A31:F31"/>
    <mergeCell ref="A14:F14"/>
    <mergeCell ref="A2:F2"/>
    <mergeCell ref="A3:F3"/>
    <mergeCell ref="A4:A6"/>
    <mergeCell ref="B4:B6"/>
    <mergeCell ref="C4:C6"/>
    <mergeCell ref="D4:D6"/>
    <mergeCell ref="E4:F5"/>
    <mergeCell ref="A8:F8"/>
    <mergeCell ref="A9:F9"/>
    <mergeCell ref="A10:F10"/>
    <mergeCell ref="A13:D13"/>
    <mergeCell ref="E13:F13"/>
  </mergeCells>
  <pageMargins left="0.6" right="0.4" top="0.65" bottom="0.4" header="0.4" footer="0.4"/>
  <pageSetup paperSize="9" scale="85" fitToHeight="0"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K323"/>
  <sheetViews>
    <sheetView workbookViewId="0">
      <selection activeCell="A319" sqref="A319:AX319"/>
    </sheetView>
  </sheetViews>
  <sheetFormatPr defaultColWidth="9.140625" defaultRowHeight="12.75"/>
  <cols>
    <col min="1" max="256" width="9.140625" customWidth="1"/>
  </cols>
  <sheetData>
    <row r="1" spans="1:13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58412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>
      <c r="A12" s="1">
        <v>1</v>
      </c>
      <c r="B12" s="1">
        <v>318</v>
      </c>
      <c r="C12" s="1">
        <v>0</v>
      </c>
      <c r="D12" s="1">
        <f>ROW(A272)</f>
        <v>272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4098</v>
      </c>
      <c r="N12" s="1"/>
      <c r="O12" s="1">
        <v>0</v>
      </c>
      <c r="P12" s="1">
        <v>0</v>
      </c>
      <c r="Q12" s="1">
        <v>0</v>
      </c>
      <c r="R12" s="1">
        <v>0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8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9</v>
      </c>
      <c r="CF12" s="1">
        <v>0</v>
      </c>
      <c r="CG12" s="1">
        <v>0</v>
      </c>
      <c r="CH12" s="1">
        <v>16785416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>
      <c r="A18" s="2">
        <v>52</v>
      </c>
      <c r="B18" s="2">
        <f t="shared" ref="B18:G18" si="0">B272</f>
        <v>318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Электромонтажные работы на объекте: г.Москва, ул. Большая Пироговская д.17+</v>
      </c>
      <c r="H18" s="2"/>
      <c r="I18" s="2"/>
      <c r="J18" s="2"/>
      <c r="K18" s="2"/>
      <c r="L18" s="2"/>
      <c r="M18" s="2"/>
      <c r="N18" s="2"/>
      <c r="O18" s="2">
        <f t="shared" ref="O18:AT18" si="1">O272</f>
        <v>250644.29</v>
      </c>
      <c r="P18" s="2">
        <f t="shared" si="1"/>
        <v>109410.5</v>
      </c>
      <c r="Q18" s="2">
        <f t="shared" si="1"/>
        <v>1868.18</v>
      </c>
      <c r="R18" s="2">
        <f t="shared" si="1"/>
        <v>876.24</v>
      </c>
      <c r="S18" s="2">
        <f t="shared" si="1"/>
        <v>139365.60999999999</v>
      </c>
      <c r="T18" s="2">
        <f t="shared" si="1"/>
        <v>0</v>
      </c>
      <c r="U18" s="2">
        <f t="shared" si="1"/>
        <v>177.54845579999994</v>
      </c>
      <c r="V18" s="2">
        <f t="shared" si="1"/>
        <v>0</v>
      </c>
      <c r="W18" s="2">
        <f t="shared" si="1"/>
        <v>0</v>
      </c>
      <c r="X18" s="2">
        <f t="shared" si="1"/>
        <v>120773.75</v>
      </c>
      <c r="Y18" s="2">
        <f t="shared" si="1"/>
        <v>61727.69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35331.96</v>
      </c>
      <c r="AQ18" s="2">
        <f t="shared" si="1"/>
        <v>0</v>
      </c>
      <c r="AR18" s="2">
        <f t="shared" si="1"/>
        <v>433145.73</v>
      </c>
      <c r="AS18" s="2">
        <f t="shared" si="1"/>
        <v>37206.589999999997</v>
      </c>
      <c r="AT18" s="2">
        <f t="shared" si="1"/>
        <v>216050.23</v>
      </c>
      <c r="AU18" s="2">
        <f t="shared" ref="AU18:BZ18" si="2">AU272</f>
        <v>144556.95000000001</v>
      </c>
      <c r="AV18" s="2">
        <f t="shared" si="2"/>
        <v>109410.5</v>
      </c>
      <c r="AW18" s="2">
        <f t="shared" si="2"/>
        <v>74078.539999999994</v>
      </c>
      <c r="AX18" s="2">
        <f t="shared" si="2"/>
        <v>0</v>
      </c>
      <c r="AY18" s="2">
        <f t="shared" si="2"/>
        <v>74078.539999999994</v>
      </c>
      <c r="AZ18" s="2">
        <f t="shared" si="2"/>
        <v>35331.96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CA272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DG272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EM272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FS272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>
      <c r="A20" s="1">
        <v>3</v>
      </c>
      <c r="B20" s="1">
        <v>1</v>
      </c>
      <c r="C20" s="1"/>
      <c r="D20" s="1">
        <f>ROW(A240)</f>
        <v>240</v>
      </c>
      <c r="E20" s="1"/>
      <c r="F20" s="1" t="s">
        <v>10</v>
      </c>
      <c r="G20" s="1" t="s">
        <v>10</v>
      </c>
      <c r="H20" s="1" t="s">
        <v>3</v>
      </c>
      <c r="I20" s="1">
        <v>0</v>
      </c>
      <c r="J20" s="1" t="s">
        <v>3</v>
      </c>
      <c r="K20" s="1">
        <v>0</v>
      </c>
      <c r="L20" s="1" t="s">
        <v>10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>
      <c r="A22" s="2">
        <v>52</v>
      </c>
      <c r="B22" s="2">
        <f t="shared" ref="B22:G22" si="7">B240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O240</f>
        <v>250644.29</v>
      </c>
      <c r="P22" s="2">
        <f t="shared" si="8"/>
        <v>109410.5</v>
      </c>
      <c r="Q22" s="2">
        <f t="shared" si="8"/>
        <v>1868.18</v>
      </c>
      <c r="R22" s="2">
        <f t="shared" si="8"/>
        <v>876.24</v>
      </c>
      <c r="S22" s="2">
        <f t="shared" si="8"/>
        <v>139365.60999999999</v>
      </c>
      <c r="T22" s="2">
        <f t="shared" si="8"/>
        <v>0</v>
      </c>
      <c r="U22" s="2">
        <f t="shared" si="8"/>
        <v>177.54845579999994</v>
      </c>
      <c r="V22" s="2">
        <f t="shared" si="8"/>
        <v>0</v>
      </c>
      <c r="W22" s="2">
        <f t="shared" si="8"/>
        <v>0</v>
      </c>
      <c r="X22" s="2">
        <f t="shared" si="8"/>
        <v>120773.75</v>
      </c>
      <c r="Y22" s="2">
        <f t="shared" si="8"/>
        <v>61727.69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35331.96</v>
      </c>
      <c r="AQ22" s="2">
        <f t="shared" si="8"/>
        <v>0</v>
      </c>
      <c r="AR22" s="2">
        <f t="shared" si="8"/>
        <v>433145.73</v>
      </c>
      <c r="AS22" s="2">
        <f t="shared" si="8"/>
        <v>37206.589999999997</v>
      </c>
      <c r="AT22" s="2">
        <f t="shared" si="8"/>
        <v>216050.23</v>
      </c>
      <c r="AU22" s="2">
        <f t="shared" ref="AU22:BZ22" si="9">AU240</f>
        <v>144556.95000000001</v>
      </c>
      <c r="AV22" s="2">
        <f t="shared" si="9"/>
        <v>109410.5</v>
      </c>
      <c r="AW22" s="2">
        <f t="shared" si="9"/>
        <v>74078.539999999994</v>
      </c>
      <c r="AX22" s="2">
        <f t="shared" si="9"/>
        <v>0</v>
      </c>
      <c r="AY22" s="2">
        <f t="shared" si="9"/>
        <v>74078.539999999994</v>
      </c>
      <c r="AZ22" s="2">
        <f t="shared" si="9"/>
        <v>35331.96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CA240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DG240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EM240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FS240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>
      <c r="A24" s="1">
        <v>4</v>
      </c>
      <c r="B24" s="1">
        <v>1</v>
      </c>
      <c r="C24" s="1"/>
      <c r="D24" s="1">
        <f>ROW(A61)</f>
        <v>61</v>
      </c>
      <c r="E24" s="1"/>
      <c r="F24" s="1" t="s">
        <v>11</v>
      </c>
      <c r="G24" s="1" t="s">
        <v>12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>
      <c r="A26" s="2">
        <v>52</v>
      </c>
      <c r="B26" s="2">
        <f t="shared" ref="B26:G26" si="14">B61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Читальный зал (щитовое оборудование)</v>
      </c>
      <c r="H26" s="2"/>
      <c r="I26" s="2"/>
      <c r="J26" s="2"/>
      <c r="K26" s="2"/>
      <c r="L26" s="2"/>
      <c r="M26" s="2"/>
      <c r="N26" s="2"/>
      <c r="O26" s="2">
        <f t="shared" ref="O26:AT26" si="15">O61</f>
        <v>91806.33</v>
      </c>
      <c r="P26" s="2">
        <f t="shared" si="15"/>
        <v>19860.38</v>
      </c>
      <c r="Q26" s="2">
        <f t="shared" si="15"/>
        <v>638.92999999999995</v>
      </c>
      <c r="R26" s="2">
        <f t="shared" si="15"/>
        <v>231.62</v>
      </c>
      <c r="S26" s="2">
        <f t="shared" si="15"/>
        <v>71307.02</v>
      </c>
      <c r="T26" s="2">
        <f t="shared" si="15"/>
        <v>0</v>
      </c>
      <c r="U26" s="2">
        <f t="shared" si="15"/>
        <v>89.261999999999986</v>
      </c>
      <c r="V26" s="2">
        <f t="shared" si="15"/>
        <v>0</v>
      </c>
      <c r="W26" s="2">
        <f t="shared" si="15"/>
        <v>0</v>
      </c>
      <c r="X26" s="2">
        <f t="shared" si="15"/>
        <v>59280.49</v>
      </c>
      <c r="Y26" s="2">
        <f t="shared" si="15"/>
        <v>29889.93</v>
      </c>
      <c r="Z26" s="2">
        <f t="shared" si="15"/>
        <v>0</v>
      </c>
      <c r="AA26" s="2">
        <f t="shared" si="15"/>
        <v>0</v>
      </c>
      <c r="AB26" s="2">
        <f t="shared" si="15"/>
        <v>91806.33</v>
      </c>
      <c r="AC26" s="2">
        <f t="shared" si="15"/>
        <v>19860.38</v>
      </c>
      <c r="AD26" s="2">
        <f t="shared" si="15"/>
        <v>638.92999999999995</v>
      </c>
      <c r="AE26" s="2">
        <f t="shared" si="15"/>
        <v>231.62</v>
      </c>
      <c r="AF26" s="2">
        <f t="shared" si="15"/>
        <v>71307.02</v>
      </c>
      <c r="AG26" s="2">
        <f t="shared" si="15"/>
        <v>0</v>
      </c>
      <c r="AH26" s="2">
        <f t="shared" si="15"/>
        <v>89.261999999999986</v>
      </c>
      <c r="AI26" s="2">
        <f t="shared" si="15"/>
        <v>0</v>
      </c>
      <c r="AJ26" s="2">
        <f t="shared" si="15"/>
        <v>0</v>
      </c>
      <c r="AK26" s="2">
        <f t="shared" si="15"/>
        <v>59280.49</v>
      </c>
      <c r="AL26" s="2">
        <f t="shared" si="15"/>
        <v>29889.93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16189.98</v>
      </c>
      <c r="AQ26" s="2">
        <f t="shared" si="15"/>
        <v>0</v>
      </c>
      <c r="AR26" s="2">
        <f t="shared" si="15"/>
        <v>180976.75</v>
      </c>
      <c r="AS26" s="2">
        <f t="shared" si="15"/>
        <v>0</v>
      </c>
      <c r="AT26" s="2">
        <f t="shared" si="15"/>
        <v>72459.899999999994</v>
      </c>
      <c r="AU26" s="2">
        <f t="shared" ref="AU26:BZ26" si="16">AU61</f>
        <v>92326.87</v>
      </c>
      <c r="AV26" s="2">
        <f t="shared" si="16"/>
        <v>19860.38</v>
      </c>
      <c r="AW26" s="2">
        <f t="shared" si="16"/>
        <v>3670.4</v>
      </c>
      <c r="AX26" s="2">
        <f t="shared" si="16"/>
        <v>0</v>
      </c>
      <c r="AY26" s="2">
        <f t="shared" si="16"/>
        <v>3670.4</v>
      </c>
      <c r="AZ26" s="2">
        <f t="shared" si="16"/>
        <v>16189.98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16189.98</v>
      </c>
      <c r="BZ26" s="2">
        <f t="shared" si="16"/>
        <v>0</v>
      </c>
      <c r="CA26" s="2">
        <f t="shared" ref="CA26:DF26" si="17">CA61</f>
        <v>180976.75</v>
      </c>
      <c r="CB26" s="2">
        <f t="shared" si="17"/>
        <v>0</v>
      </c>
      <c r="CC26" s="2">
        <f t="shared" si="17"/>
        <v>72459.899999999994</v>
      </c>
      <c r="CD26" s="2">
        <f t="shared" si="17"/>
        <v>92326.87</v>
      </c>
      <c r="CE26" s="2">
        <f t="shared" si="17"/>
        <v>19860.38</v>
      </c>
      <c r="CF26" s="2">
        <f t="shared" si="17"/>
        <v>3670.4000000000015</v>
      </c>
      <c r="CG26" s="2">
        <f t="shared" si="17"/>
        <v>0</v>
      </c>
      <c r="CH26" s="2">
        <f t="shared" si="17"/>
        <v>3670.4000000000015</v>
      </c>
      <c r="CI26" s="2">
        <f t="shared" si="17"/>
        <v>16189.98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DG61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EM61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FS61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>
      <c r="A28">
        <v>17</v>
      </c>
      <c r="B28">
        <v>1</v>
      </c>
      <c r="E28" t="s">
        <v>13</v>
      </c>
      <c r="F28" t="s">
        <v>14</v>
      </c>
      <c r="G28" t="s">
        <v>15</v>
      </c>
      <c r="H28" t="s">
        <v>16</v>
      </c>
      <c r="I28">
        <v>10</v>
      </c>
      <c r="J28">
        <v>0</v>
      </c>
      <c r="K28">
        <v>10</v>
      </c>
      <c r="O28">
        <f t="shared" ref="O28:O59" si="21">ROUND(CP28,2)</f>
        <v>4677.26</v>
      </c>
      <c r="P28">
        <f t="shared" ref="P28:P35" si="22">ROUND((ROUND((AC28*AW28*I28),2)*BC28),2)</f>
        <v>0</v>
      </c>
      <c r="Q28">
        <f>(ROUND((ROUND(((((ET28*0.4)*1.2))*AV28*I28),2)*BB28),2)+ROUND((ROUND(((AE28-(((EU28*0.4)*1.2)))*AV28*I28),2)*BS28),2))</f>
        <v>47.22</v>
      </c>
      <c r="R28">
        <f>(ROUND((ROUND(((((EU28*0.4)*1.2))*AV28*I28),2)*BS28),2)+ROUND((ROUND(((AE28-(((EU28*0.4)*1.2)))*AV28*I28),2)*BS28),2))</f>
        <v>0</v>
      </c>
      <c r="S28">
        <f t="shared" ref="S28:S59" si="23">ROUND((ROUND((AF28*AV28*I28),2)*BA28),2)</f>
        <v>4630.04</v>
      </c>
      <c r="T28">
        <f t="shared" ref="T28:T59" si="24">ROUND(CU28*I28,2)</f>
        <v>0</v>
      </c>
      <c r="U28">
        <f t="shared" ref="U28:U59" si="25">CV28*I28</f>
        <v>6.4320000000000004</v>
      </c>
      <c r="V28">
        <f t="shared" ref="V28:V59" si="26">CW28*I28</f>
        <v>0</v>
      </c>
      <c r="W28">
        <f t="shared" ref="W28:W59" si="27">ROUND(CX28*I28,2)</f>
        <v>0</v>
      </c>
      <c r="X28">
        <f>(ROUND((((S28+ROUND((ROUND(((((EU28*0.4)*1.2))*AV28*I28),2)*BS28),2))*AT28)/100),2)+ROUND(((ROUND((ROUND(((AE28-(((EU28*0.4)*1.2)))*AV28*I28),2)*BS28),2)*AT28)/100),2))</f>
        <v>4491.1400000000003</v>
      </c>
      <c r="Y28">
        <f>(ROUND((((S28+ROUND((ROUND(((((EU28*0.4)*1.2))*AV28*I28),2)*BS28),2))*AU28)/100),2)+ROUND(((ROUND((ROUND(((AE28-(((EU28*0.4)*1.2)))*AV28*I28),2)*BS28),2)*AU28)/100),2))</f>
        <v>2361.3200000000002</v>
      </c>
      <c r="AA28">
        <v>76282491</v>
      </c>
      <c r="AB28">
        <f t="shared" ref="AB28:AB59" si="28">ROUND((AC28+AD28+AF28),6)</f>
        <v>8.3952000000000009</v>
      </c>
      <c r="AC28">
        <f>ROUND((((ES28*0)*1)),6)</f>
        <v>0</v>
      </c>
      <c r="AD28">
        <f>ROUND((((((ET28*0.4)*1.2))-(((EU28*0.4)*1.2)))+AE28),6)</f>
        <v>0.37919999999999998</v>
      </c>
      <c r="AE28">
        <f>ROUND((((EU28*0.4)*1.2)),6)</f>
        <v>0</v>
      </c>
      <c r="AF28">
        <f>ROUND((((EV28*0.4)*1.2)),6)</f>
        <v>8.016</v>
      </c>
      <c r="AG28">
        <f t="shared" ref="AG28:AG59" si="29">ROUND((AP28),6)</f>
        <v>0</v>
      </c>
      <c r="AH28">
        <f>(((EW28*0.4)*1.2))</f>
        <v>0.64319999999999999</v>
      </c>
      <c r="AI28">
        <f>(((EX28*0.4)*1.2))</f>
        <v>0</v>
      </c>
      <c r="AJ28">
        <f t="shared" ref="AJ28:AJ59" si="30">(AS28)</f>
        <v>0</v>
      </c>
      <c r="AK28">
        <v>42.76</v>
      </c>
      <c r="AL28">
        <v>25.27</v>
      </c>
      <c r="AM28">
        <v>0.79</v>
      </c>
      <c r="AN28">
        <v>0</v>
      </c>
      <c r="AO28">
        <v>16.7</v>
      </c>
      <c r="AP28">
        <v>0</v>
      </c>
      <c r="AQ28">
        <v>1.34</v>
      </c>
      <c r="AR28">
        <v>0</v>
      </c>
      <c r="AS28">
        <v>0</v>
      </c>
      <c r="AT28">
        <v>97</v>
      </c>
      <c r="AU28">
        <v>51</v>
      </c>
      <c r="AV28">
        <v>1</v>
      </c>
      <c r="AW28">
        <v>1</v>
      </c>
      <c r="AZ28">
        <v>1</v>
      </c>
      <c r="BA28">
        <v>57.76</v>
      </c>
      <c r="BB28">
        <v>12.46</v>
      </c>
      <c r="BC28">
        <v>6.07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2</v>
      </c>
      <c r="BJ28" t="s">
        <v>17</v>
      </c>
      <c r="BM28">
        <v>67</v>
      </c>
      <c r="BN28">
        <v>0</v>
      </c>
      <c r="BO28" t="s">
        <v>14</v>
      </c>
      <c r="BP28">
        <v>1</v>
      </c>
      <c r="BQ28">
        <v>40</v>
      </c>
      <c r="BR28">
        <v>0</v>
      </c>
      <c r="BS28">
        <v>57.76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97</v>
      </c>
      <c r="CA28">
        <v>51</v>
      </c>
      <c r="CB28" t="s">
        <v>3</v>
      </c>
      <c r="CE28">
        <v>1566</v>
      </c>
      <c r="CF28">
        <v>0</v>
      </c>
      <c r="CG28">
        <v>0</v>
      </c>
      <c r="CM28">
        <v>0</v>
      </c>
      <c r="CN28" t="s">
        <v>451</v>
      </c>
      <c r="CO28">
        <v>0</v>
      </c>
      <c r="CP28">
        <f t="shared" ref="CP28:CP59" si="31">(P28+Q28+S28)</f>
        <v>4677.26</v>
      </c>
      <c r="CQ28">
        <f t="shared" ref="CQ28:CQ35" si="32">ROUND((ROUND((AC28*AW28*1),2)*BC28),2)</f>
        <v>0</v>
      </c>
      <c r="CR28">
        <f>(ROUND((ROUND(((((ET28*0.4)*1.2))*AV28*1),2)*BB28),2)+ROUND((ROUND(((AE28-(((EU28*0.4)*1.2)))*AV28*1),2)*BS28),2))</f>
        <v>4.7300000000000004</v>
      </c>
      <c r="CS28">
        <f>(ROUND((ROUND(((((EU28*0.4)*1.2))*AV28*1),2)*BS28),2)+ROUND((ROUND(((AE28-(((EU28*0.4)*1.2)))*AV28*1),2)*BS28),2))</f>
        <v>0</v>
      </c>
      <c r="CT28">
        <f t="shared" ref="CT28:CT59" si="33">ROUND((ROUND((AF28*AV28*1),2)*BA28),2)</f>
        <v>463.24</v>
      </c>
      <c r="CU28">
        <f t="shared" ref="CU28:CU59" si="34">AG28</f>
        <v>0</v>
      </c>
      <c r="CV28">
        <f t="shared" ref="CV28:CV59" si="35">(AH28*AV28)</f>
        <v>0.64319999999999999</v>
      </c>
      <c r="CW28">
        <f t="shared" ref="CW28:CW59" si="36">AI28</f>
        <v>0</v>
      </c>
      <c r="CX28">
        <f t="shared" ref="CX28:CX59" si="37">AJ28</f>
        <v>0</v>
      </c>
      <c r="CY28">
        <f>(ROUND((((S28+ROUND((ROUND(((((EU28*0.4)*1.2))*AV28*1),2)*BS28),2))*AT28)/100),2)+ROUND(((ROUND((ROUND(((AE28-(((EU28*0.4)*1.2)))*AV28*1),2)*BS28),2)*AT28)/100),2))</f>
        <v>4491.1400000000003</v>
      </c>
      <c r="CZ28">
        <f>(ROUND((((S28+ROUND((ROUND(((((EU28*0.4)*1.2))*AV28*1),2)*BS28),2))*AU28)/100),2)+ROUND(((ROUND((ROUND(((AE28-(((EU28*0.4)*1.2)))*AV28*1),2)*BS28),2)*AU28)/100),2))</f>
        <v>2361.3200000000002</v>
      </c>
      <c r="DB28">
        <v>1</v>
      </c>
      <c r="DC28" t="s">
        <v>3</v>
      </c>
      <c r="DD28" t="s">
        <v>18</v>
      </c>
      <c r="DE28" t="s">
        <v>19</v>
      </c>
      <c r="DF28" t="s">
        <v>19</v>
      </c>
      <c r="DG28" t="s">
        <v>19</v>
      </c>
      <c r="DH28" t="s">
        <v>3</v>
      </c>
      <c r="DI28" t="s">
        <v>19</v>
      </c>
      <c r="DJ28" t="s">
        <v>19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1013</v>
      </c>
      <c r="DV28" t="s">
        <v>16</v>
      </c>
      <c r="DW28" t="s">
        <v>16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76282301</v>
      </c>
      <c r="EF28">
        <v>40</v>
      </c>
      <c r="EG28" t="s">
        <v>20</v>
      </c>
      <c r="EH28">
        <v>0</v>
      </c>
      <c r="EI28" t="s">
        <v>3</v>
      </c>
      <c r="EJ28">
        <v>2</v>
      </c>
      <c r="EK28">
        <v>67</v>
      </c>
      <c r="EL28" t="s">
        <v>21</v>
      </c>
      <c r="EM28" t="s">
        <v>22</v>
      </c>
      <c r="EO28" t="s">
        <v>23</v>
      </c>
      <c r="EQ28">
        <v>131072</v>
      </c>
      <c r="ER28">
        <v>42.76</v>
      </c>
      <c r="ES28">
        <v>25.27</v>
      </c>
      <c r="ET28">
        <v>0.79</v>
      </c>
      <c r="EU28">
        <v>0</v>
      </c>
      <c r="EV28">
        <v>16.7</v>
      </c>
      <c r="EW28">
        <v>1.34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97</v>
      </c>
      <c r="FY28">
        <v>51</v>
      </c>
      <c r="GA28" t="s">
        <v>3</v>
      </c>
      <c r="GD28">
        <v>1</v>
      </c>
      <c r="GF28">
        <v>2018789610</v>
      </c>
      <c r="GG28">
        <v>2</v>
      </c>
      <c r="GH28">
        <v>0</v>
      </c>
      <c r="GI28">
        <v>2</v>
      </c>
      <c r="GJ28">
        <v>0</v>
      </c>
      <c r="GK28">
        <v>0</v>
      </c>
      <c r="GL28">
        <f t="shared" ref="GL28:GL59" si="38">ROUND(IF(AND(BH28=3,BI28=3,FS28&lt;&gt;0),P28,0),2)</f>
        <v>0</v>
      </c>
      <c r="GM28">
        <f t="shared" ref="GM28:GM59" si="39">ROUND(O28+X28+Y28,2)+GX28</f>
        <v>11529.72</v>
      </c>
      <c r="GN28">
        <f t="shared" ref="GN28:GN59" si="40">IF(OR(BI28=0,BI28=1),GM28-GX28,0)</f>
        <v>0</v>
      </c>
      <c r="GO28">
        <f t="shared" ref="GO28:GO59" si="41">IF(BI28=2,GM28-GX28,0)</f>
        <v>11529.72</v>
      </c>
      <c r="GP28">
        <f t="shared" ref="GP28:GP59" si="42">IF(BI28=4,GM28-GX28,0)</f>
        <v>0</v>
      </c>
      <c r="GR28">
        <v>0</v>
      </c>
      <c r="GS28">
        <v>7</v>
      </c>
      <c r="GT28">
        <v>0</v>
      </c>
      <c r="GU28" t="s">
        <v>3</v>
      </c>
      <c r="GV28">
        <f t="shared" ref="GV28:GV59" si="43">ROUND((GT28),6)</f>
        <v>0</v>
      </c>
      <c r="GW28">
        <v>1</v>
      </c>
      <c r="GX28">
        <f t="shared" ref="GX28:GX59" si="44">ROUND(HC28*I28,2)</f>
        <v>0</v>
      </c>
      <c r="HA28">
        <v>0</v>
      </c>
      <c r="HB28">
        <v>0</v>
      </c>
      <c r="HC28">
        <f t="shared" ref="HC28:HC59" si="45">GV28*GW28</f>
        <v>0</v>
      </c>
      <c r="HE28" t="s">
        <v>3</v>
      </c>
      <c r="HF28" t="s">
        <v>3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S28">
        <v>0</v>
      </c>
      <c r="IK28">
        <v>0</v>
      </c>
    </row>
    <row r="29" spans="1:245">
      <c r="A29">
        <v>18</v>
      </c>
      <c r="B29">
        <v>1</v>
      </c>
      <c r="E29" t="s">
        <v>24</v>
      </c>
      <c r="F29" t="s">
        <v>25</v>
      </c>
      <c r="G29" t="s">
        <v>26</v>
      </c>
      <c r="H29" t="s">
        <v>27</v>
      </c>
      <c r="I29">
        <f>I28*J29</f>
        <v>0</v>
      </c>
      <c r="J29">
        <v>0</v>
      </c>
      <c r="K29">
        <v>4.9000000000000002E-2</v>
      </c>
      <c r="O29">
        <f t="shared" si="21"/>
        <v>0</v>
      </c>
      <c r="P29">
        <f t="shared" si="22"/>
        <v>0</v>
      </c>
      <c r="Q29">
        <f>(ROUND((ROUND(((ET29)*AV29*I29),2)*BB29),2)+ROUND((ROUND(((AE29-(EU29))*AV29*I29),2)*BS29),2))</f>
        <v>0</v>
      </c>
      <c r="R29">
        <f>(ROUND((ROUND(((EU29)*AV29*I29),2)*BS29),2)+ROUND((ROUND(((AE29-(EU29))*AV29*I29),2)*BS29),2))</f>
        <v>0</v>
      </c>
      <c r="S29">
        <f t="shared" si="23"/>
        <v>0</v>
      </c>
      <c r="T29">
        <f t="shared" si="24"/>
        <v>0</v>
      </c>
      <c r="U29">
        <f t="shared" si="25"/>
        <v>0</v>
      </c>
      <c r="V29">
        <f t="shared" si="26"/>
        <v>0</v>
      </c>
      <c r="W29">
        <f t="shared" si="27"/>
        <v>0</v>
      </c>
      <c r="X29">
        <f>(ROUND((((S29+ROUND((ROUND(((EU29)*AV29*I29),2)*BS29),2))*AT29)/100),2)+ROUND(((ROUND((ROUND(((AE29-(EU29))*AV29*I29),2)*BS29),2)*AT29)/100),2))</f>
        <v>0</v>
      </c>
      <c r="Y29">
        <f>(ROUND((((S29+ROUND((ROUND(((EU29)*AV29*I29),2)*BS29),2))*AU29)/100),2)+ROUND(((ROUND((ROUND(((AE29-(EU29))*AV29*I29),2)*BS29),2)*AU29)/100),2))</f>
        <v>0</v>
      </c>
      <c r="AA29">
        <v>76282491</v>
      </c>
      <c r="AB29">
        <f t="shared" si="28"/>
        <v>0</v>
      </c>
      <c r="AC29">
        <f>ROUND((ES29),6)</f>
        <v>0</v>
      </c>
      <c r="AD29">
        <f>ROUND((((ET29)-(EU29))+AE29),6)</f>
        <v>0</v>
      </c>
      <c r="AE29">
        <f t="shared" ref="AE29:AF32" si="46">ROUND((EU29),6)</f>
        <v>0</v>
      </c>
      <c r="AF29">
        <f t="shared" si="46"/>
        <v>0</v>
      </c>
      <c r="AG29">
        <f t="shared" si="29"/>
        <v>0</v>
      </c>
      <c r="AH29">
        <f t="shared" ref="AH29:AI32" si="47">(EW29)</f>
        <v>0</v>
      </c>
      <c r="AI29">
        <f t="shared" si="47"/>
        <v>0</v>
      </c>
      <c r="AJ29">
        <f t="shared" si="30"/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97</v>
      </c>
      <c r="AU29">
        <v>51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3</v>
      </c>
      <c r="BI29">
        <v>2</v>
      </c>
      <c r="BJ29" t="s">
        <v>3</v>
      </c>
      <c r="BM29">
        <v>67</v>
      </c>
      <c r="BN29">
        <v>0</v>
      </c>
      <c r="BO29" t="s">
        <v>3</v>
      </c>
      <c r="BP29">
        <v>0</v>
      </c>
      <c r="BQ29">
        <v>40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97</v>
      </c>
      <c r="CA29">
        <v>51</v>
      </c>
      <c r="CB29" t="s">
        <v>3</v>
      </c>
      <c r="CE29">
        <v>1566</v>
      </c>
      <c r="CF29">
        <v>0</v>
      </c>
      <c r="CG29">
        <v>0</v>
      </c>
      <c r="CM29">
        <v>0</v>
      </c>
      <c r="CN29" t="s">
        <v>452</v>
      </c>
      <c r="CO29">
        <v>0</v>
      </c>
      <c r="CP29">
        <f t="shared" si="31"/>
        <v>0</v>
      </c>
      <c r="CQ29">
        <f t="shared" si="32"/>
        <v>0</v>
      </c>
      <c r="CR29">
        <f>(ROUND((ROUND(((ET29)*AV29*1),2)*BB29),2)+ROUND((ROUND(((AE29-(EU29))*AV29*1),2)*BS29),2))</f>
        <v>0</v>
      </c>
      <c r="CS29">
        <f>(ROUND((ROUND(((EU29)*AV29*1),2)*BS29),2)+ROUND((ROUND(((AE29-(EU29))*AV29*1),2)*BS29),2))</f>
        <v>0</v>
      </c>
      <c r="CT29">
        <f t="shared" si="33"/>
        <v>0</v>
      </c>
      <c r="CU29">
        <f t="shared" si="34"/>
        <v>0</v>
      </c>
      <c r="CV29">
        <f t="shared" si="35"/>
        <v>0</v>
      </c>
      <c r="CW29">
        <f t="shared" si="36"/>
        <v>0</v>
      </c>
      <c r="CX29">
        <f t="shared" si="37"/>
        <v>0</v>
      </c>
      <c r="CY29">
        <f>(ROUND((((S29+ROUND((ROUND(((EU29)*AV29*1),2)*BS29),2))*AT29)/100),2)+ROUND(((ROUND((ROUND(((AE29-(EU29))*AV29*1),2)*BS29),2)*AT29)/100),2))</f>
        <v>0</v>
      </c>
      <c r="CZ29">
        <f>(ROUND((((S29+ROUND((ROUND(((EU29)*AV29*1),2)*BS29),2))*AU29)/100),2)+ROUND(((ROUND((ROUND(((AE29-(EU29))*AV29*1),2)*BS29),2)*AU29)/100),2))</f>
        <v>0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1009</v>
      </c>
      <c r="DV29" t="s">
        <v>27</v>
      </c>
      <c r="DW29" t="s">
        <v>27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76282301</v>
      </c>
      <c r="EF29">
        <v>40</v>
      </c>
      <c r="EG29" t="s">
        <v>20</v>
      </c>
      <c r="EH29">
        <v>0</v>
      </c>
      <c r="EI29" t="s">
        <v>3</v>
      </c>
      <c r="EJ29">
        <v>2</v>
      </c>
      <c r="EK29">
        <v>67</v>
      </c>
      <c r="EL29" t="s">
        <v>21</v>
      </c>
      <c r="EM29" t="s">
        <v>22</v>
      </c>
      <c r="EO29" t="s">
        <v>28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FQ29">
        <v>0</v>
      </c>
      <c r="FR29">
        <v>0</v>
      </c>
      <c r="FS29">
        <v>0</v>
      </c>
      <c r="FX29">
        <v>97</v>
      </c>
      <c r="FY29">
        <v>51</v>
      </c>
      <c r="GA29" t="s">
        <v>3</v>
      </c>
      <c r="GD29">
        <v>1</v>
      </c>
      <c r="GF29">
        <v>-63099341</v>
      </c>
      <c r="GG29">
        <v>2</v>
      </c>
      <c r="GH29">
        <v>0</v>
      </c>
      <c r="GI29">
        <v>-2</v>
      </c>
      <c r="GJ29">
        <v>0</v>
      </c>
      <c r="GK29">
        <v>0</v>
      </c>
      <c r="GL29">
        <f t="shared" si="38"/>
        <v>0</v>
      </c>
      <c r="GM29">
        <f t="shared" si="39"/>
        <v>0</v>
      </c>
      <c r="GN29">
        <f t="shared" si="40"/>
        <v>0</v>
      </c>
      <c r="GO29">
        <f t="shared" si="41"/>
        <v>0</v>
      </c>
      <c r="GP29">
        <f t="shared" si="42"/>
        <v>0</v>
      </c>
      <c r="GR29">
        <v>0</v>
      </c>
      <c r="GS29">
        <v>0</v>
      </c>
      <c r="GT29">
        <v>0</v>
      </c>
      <c r="GU29" t="s">
        <v>3</v>
      </c>
      <c r="GV29">
        <f t="shared" si="43"/>
        <v>0</v>
      </c>
      <c r="GW29">
        <v>1</v>
      </c>
      <c r="GX29">
        <f t="shared" si="44"/>
        <v>0</v>
      </c>
      <c r="HA29">
        <v>0</v>
      </c>
      <c r="HB29">
        <v>0</v>
      </c>
      <c r="HC29">
        <f t="shared" si="45"/>
        <v>0</v>
      </c>
      <c r="HE29" t="s">
        <v>3</v>
      </c>
      <c r="HF29" t="s">
        <v>3</v>
      </c>
      <c r="HM29" t="s">
        <v>18</v>
      </c>
      <c r="HN29" t="s">
        <v>3</v>
      </c>
      <c r="HO29" t="s">
        <v>3</v>
      </c>
      <c r="HP29" t="s">
        <v>3</v>
      </c>
      <c r="HQ29" t="s">
        <v>3</v>
      </c>
      <c r="HS29">
        <v>0</v>
      </c>
      <c r="IK29">
        <v>0</v>
      </c>
    </row>
    <row r="30" spans="1:245">
      <c r="A30">
        <v>18</v>
      </c>
      <c r="B30">
        <v>1</v>
      </c>
      <c r="E30" t="s">
        <v>29</v>
      </c>
      <c r="F30" t="s">
        <v>30</v>
      </c>
      <c r="G30" t="s">
        <v>31</v>
      </c>
      <c r="H30" t="s">
        <v>32</v>
      </c>
      <c r="I30">
        <f>I28*J30</f>
        <v>0</v>
      </c>
      <c r="J30">
        <v>0</v>
      </c>
      <c r="K30">
        <v>1</v>
      </c>
      <c r="O30">
        <f t="shared" si="21"/>
        <v>0</v>
      </c>
      <c r="P30">
        <f t="shared" si="22"/>
        <v>0</v>
      </c>
      <c r="Q30">
        <f>(ROUND((ROUND(((ET30)*AV30*I30),2)*BB30),2)+ROUND((ROUND(((AE30-(EU30))*AV30*I30),2)*BS30),2))</f>
        <v>0</v>
      </c>
      <c r="R30">
        <f>(ROUND((ROUND(((EU30)*AV30*I30),2)*BS30),2)+ROUND((ROUND(((AE30-(EU30))*AV30*I30),2)*BS30),2))</f>
        <v>0</v>
      </c>
      <c r="S30">
        <f t="shared" si="23"/>
        <v>0</v>
      </c>
      <c r="T30">
        <f t="shared" si="24"/>
        <v>0</v>
      </c>
      <c r="U30">
        <f t="shared" si="25"/>
        <v>0</v>
      </c>
      <c r="V30">
        <f t="shared" si="26"/>
        <v>0</v>
      </c>
      <c r="W30">
        <f t="shared" si="27"/>
        <v>0</v>
      </c>
      <c r="X30">
        <f>(ROUND((((S30+ROUND((ROUND(((EU30)*AV30*I30),2)*BS30),2))*AT30)/100),2)+ROUND(((ROUND((ROUND(((AE30-(EU30))*AV30*I30),2)*BS30),2)*AT30)/100),2))</f>
        <v>0</v>
      </c>
      <c r="Y30">
        <f>(ROUND((((S30+ROUND((ROUND(((EU30)*AV30*I30),2)*BS30),2))*AU30)/100),2)+ROUND(((ROUND((ROUND(((AE30-(EU30))*AV30*I30),2)*BS30),2)*AU30)/100),2))</f>
        <v>0</v>
      </c>
      <c r="AA30">
        <v>76282491</v>
      </c>
      <c r="AB30">
        <f t="shared" si="28"/>
        <v>0</v>
      </c>
      <c r="AC30">
        <f>ROUND((ES30),6)</f>
        <v>0</v>
      </c>
      <c r="AD30">
        <f>ROUND((((ET30)-(EU30))+AE30),6)</f>
        <v>0</v>
      </c>
      <c r="AE30">
        <f t="shared" si="46"/>
        <v>0</v>
      </c>
      <c r="AF30">
        <f t="shared" si="46"/>
        <v>0</v>
      </c>
      <c r="AG30">
        <f t="shared" si="29"/>
        <v>0</v>
      </c>
      <c r="AH30">
        <f t="shared" si="47"/>
        <v>0</v>
      </c>
      <c r="AI30">
        <f t="shared" si="47"/>
        <v>0</v>
      </c>
      <c r="AJ30">
        <f t="shared" si="30"/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97</v>
      </c>
      <c r="AU30">
        <v>51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3</v>
      </c>
      <c r="BI30">
        <v>2</v>
      </c>
      <c r="BJ30" t="s">
        <v>3</v>
      </c>
      <c r="BM30">
        <v>67</v>
      </c>
      <c r="BN30">
        <v>0</v>
      </c>
      <c r="BO30" t="s">
        <v>3</v>
      </c>
      <c r="BP30">
        <v>0</v>
      </c>
      <c r="BQ30">
        <v>40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97</v>
      </c>
      <c r="CA30">
        <v>51</v>
      </c>
      <c r="CB30" t="s">
        <v>3</v>
      </c>
      <c r="CE30">
        <v>1566</v>
      </c>
      <c r="CF30">
        <v>0</v>
      </c>
      <c r="CG30">
        <v>0</v>
      </c>
      <c r="CM30">
        <v>0</v>
      </c>
      <c r="CN30" t="s">
        <v>452</v>
      </c>
      <c r="CO30">
        <v>0</v>
      </c>
      <c r="CP30">
        <f t="shared" si="31"/>
        <v>0</v>
      </c>
      <c r="CQ30">
        <f t="shared" si="32"/>
        <v>0</v>
      </c>
      <c r="CR30">
        <f>(ROUND((ROUND(((ET30)*AV30*1),2)*BB30),2)+ROUND((ROUND(((AE30-(EU30))*AV30*1),2)*BS30),2))</f>
        <v>0</v>
      </c>
      <c r="CS30">
        <f>(ROUND((ROUND(((EU30)*AV30*1),2)*BS30),2)+ROUND((ROUND(((AE30-(EU30))*AV30*1),2)*BS30),2))</f>
        <v>0</v>
      </c>
      <c r="CT30">
        <f t="shared" si="33"/>
        <v>0</v>
      </c>
      <c r="CU30">
        <f t="shared" si="34"/>
        <v>0</v>
      </c>
      <c r="CV30">
        <f t="shared" si="35"/>
        <v>0</v>
      </c>
      <c r="CW30">
        <f t="shared" si="36"/>
        <v>0</v>
      </c>
      <c r="CX30">
        <f t="shared" si="37"/>
        <v>0</v>
      </c>
      <c r="CY30">
        <f>(ROUND((((S30+ROUND((ROUND(((EU30)*AV30*1),2)*BS30),2))*AT30)/100),2)+ROUND(((ROUND((ROUND(((AE30-(EU30))*AV30*1),2)*BS30),2)*AT30)/100),2))</f>
        <v>0</v>
      </c>
      <c r="CZ30">
        <f>(ROUND((((S30+ROUND((ROUND(((EU30)*AV30*1),2)*BS30),2))*AU30)/100),2)+ROUND(((ROUND((ROUND(((AE30-(EU30))*AV30*1),2)*BS30),2)*AU30)/100),2))</f>
        <v>0</v>
      </c>
      <c r="DC30" t="s">
        <v>3</v>
      </c>
      <c r="DD30" t="s">
        <v>3</v>
      </c>
      <c r="DE30" t="s">
        <v>3</v>
      </c>
      <c r="DF30" t="s">
        <v>3</v>
      </c>
      <c r="DG30" t="s">
        <v>3</v>
      </c>
      <c r="DH30" t="s">
        <v>3</v>
      </c>
      <c r="DI30" t="s">
        <v>3</v>
      </c>
      <c r="DJ30" t="s">
        <v>3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1010</v>
      </c>
      <c r="DV30" t="s">
        <v>32</v>
      </c>
      <c r="DW30" t="s">
        <v>32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76282301</v>
      </c>
      <c r="EF30">
        <v>40</v>
      </c>
      <c r="EG30" t="s">
        <v>20</v>
      </c>
      <c r="EH30">
        <v>0</v>
      </c>
      <c r="EI30" t="s">
        <v>3</v>
      </c>
      <c r="EJ30">
        <v>2</v>
      </c>
      <c r="EK30">
        <v>67</v>
      </c>
      <c r="EL30" t="s">
        <v>21</v>
      </c>
      <c r="EM30" t="s">
        <v>22</v>
      </c>
      <c r="EO30" t="s">
        <v>28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FQ30">
        <v>0</v>
      </c>
      <c r="FR30">
        <v>0</v>
      </c>
      <c r="FS30">
        <v>0</v>
      </c>
      <c r="FX30">
        <v>97</v>
      </c>
      <c r="FY30">
        <v>51</v>
      </c>
      <c r="GA30" t="s">
        <v>3</v>
      </c>
      <c r="GD30">
        <v>1</v>
      </c>
      <c r="GF30">
        <v>1819227632</v>
      </c>
      <c r="GG30">
        <v>2</v>
      </c>
      <c r="GH30">
        <v>0</v>
      </c>
      <c r="GI30">
        <v>-2</v>
      </c>
      <c r="GJ30">
        <v>0</v>
      </c>
      <c r="GK30">
        <v>0</v>
      </c>
      <c r="GL30">
        <f t="shared" si="38"/>
        <v>0</v>
      </c>
      <c r="GM30">
        <f t="shared" si="39"/>
        <v>0</v>
      </c>
      <c r="GN30">
        <f t="shared" si="40"/>
        <v>0</v>
      </c>
      <c r="GO30">
        <f t="shared" si="41"/>
        <v>0</v>
      </c>
      <c r="GP30">
        <f t="shared" si="42"/>
        <v>0</v>
      </c>
      <c r="GR30">
        <v>0</v>
      </c>
      <c r="GS30">
        <v>0</v>
      </c>
      <c r="GT30">
        <v>0</v>
      </c>
      <c r="GU30" t="s">
        <v>3</v>
      </c>
      <c r="GV30">
        <f t="shared" si="43"/>
        <v>0</v>
      </c>
      <c r="GW30">
        <v>1</v>
      </c>
      <c r="GX30">
        <f t="shared" si="44"/>
        <v>0</v>
      </c>
      <c r="HA30">
        <v>0</v>
      </c>
      <c r="HB30">
        <v>0</v>
      </c>
      <c r="HC30">
        <f t="shared" si="45"/>
        <v>0</v>
      </c>
      <c r="HE30" t="s">
        <v>3</v>
      </c>
      <c r="HF30" t="s">
        <v>3</v>
      </c>
      <c r="HM30" t="s">
        <v>18</v>
      </c>
      <c r="HN30" t="s">
        <v>3</v>
      </c>
      <c r="HO30" t="s">
        <v>3</v>
      </c>
      <c r="HP30" t="s">
        <v>3</v>
      </c>
      <c r="HQ30" t="s">
        <v>3</v>
      </c>
      <c r="HS30">
        <v>0</v>
      </c>
      <c r="IK30">
        <v>0</v>
      </c>
    </row>
    <row r="31" spans="1:245">
      <c r="A31">
        <v>18</v>
      </c>
      <c r="B31">
        <v>1</v>
      </c>
      <c r="E31" t="s">
        <v>33</v>
      </c>
      <c r="F31" t="s">
        <v>34</v>
      </c>
      <c r="G31" t="s">
        <v>35</v>
      </c>
      <c r="H31" t="s">
        <v>32</v>
      </c>
      <c r="I31">
        <f>I28*J31</f>
        <v>0</v>
      </c>
      <c r="J31">
        <v>0</v>
      </c>
      <c r="K31">
        <v>6.1</v>
      </c>
      <c r="O31">
        <f t="shared" si="21"/>
        <v>0</v>
      </c>
      <c r="P31">
        <f t="shared" si="22"/>
        <v>0</v>
      </c>
      <c r="Q31">
        <f>(ROUND((ROUND(((ET31)*AV31*I31),2)*BB31),2)+ROUND((ROUND(((AE31-(EU31))*AV31*I31),2)*BS31),2))</f>
        <v>0</v>
      </c>
      <c r="R31">
        <f>(ROUND((ROUND(((EU31)*AV31*I31),2)*BS31),2)+ROUND((ROUND(((AE31-(EU31))*AV31*I31),2)*BS31),2))</f>
        <v>0</v>
      </c>
      <c r="S31">
        <f t="shared" si="23"/>
        <v>0</v>
      </c>
      <c r="T31">
        <f t="shared" si="24"/>
        <v>0</v>
      </c>
      <c r="U31">
        <f t="shared" si="25"/>
        <v>0</v>
      </c>
      <c r="V31">
        <f t="shared" si="26"/>
        <v>0</v>
      </c>
      <c r="W31">
        <f t="shared" si="27"/>
        <v>0</v>
      </c>
      <c r="X31">
        <f>(ROUND((((S31+ROUND((ROUND(((EU31)*AV31*I31),2)*BS31),2))*AT31)/100),2)+ROUND(((ROUND((ROUND(((AE31-(EU31))*AV31*I31),2)*BS31),2)*AT31)/100),2))</f>
        <v>0</v>
      </c>
      <c r="Y31">
        <f>(ROUND((((S31+ROUND((ROUND(((EU31)*AV31*I31),2)*BS31),2))*AU31)/100),2)+ROUND(((ROUND((ROUND(((AE31-(EU31))*AV31*I31),2)*BS31),2)*AU31)/100),2))</f>
        <v>0</v>
      </c>
      <c r="AA31">
        <v>76282491</v>
      </c>
      <c r="AB31">
        <f t="shared" si="28"/>
        <v>0</v>
      </c>
      <c r="AC31">
        <f>ROUND((ES31),6)</f>
        <v>0</v>
      </c>
      <c r="AD31">
        <f>ROUND((((ET31)-(EU31))+AE31),6)</f>
        <v>0</v>
      </c>
      <c r="AE31">
        <f t="shared" si="46"/>
        <v>0</v>
      </c>
      <c r="AF31">
        <f t="shared" si="46"/>
        <v>0</v>
      </c>
      <c r="AG31">
        <f t="shared" si="29"/>
        <v>0</v>
      </c>
      <c r="AH31">
        <f t="shared" si="47"/>
        <v>0</v>
      </c>
      <c r="AI31">
        <f t="shared" si="47"/>
        <v>0</v>
      </c>
      <c r="AJ31">
        <f t="shared" si="30"/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97</v>
      </c>
      <c r="AU31">
        <v>51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3</v>
      </c>
      <c r="BI31">
        <v>2</v>
      </c>
      <c r="BJ31" t="s">
        <v>3</v>
      </c>
      <c r="BM31">
        <v>67</v>
      </c>
      <c r="BN31">
        <v>0</v>
      </c>
      <c r="BO31" t="s">
        <v>3</v>
      </c>
      <c r="BP31">
        <v>0</v>
      </c>
      <c r="BQ31">
        <v>40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97</v>
      </c>
      <c r="CA31">
        <v>51</v>
      </c>
      <c r="CB31" t="s">
        <v>3</v>
      </c>
      <c r="CE31">
        <v>1566</v>
      </c>
      <c r="CF31">
        <v>0</v>
      </c>
      <c r="CG31">
        <v>0</v>
      </c>
      <c r="CM31">
        <v>0</v>
      </c>
      <c r="CN31" t="s">
        <v>452</v>
      </c>
      <c r="CO31">
        <v>0</v>
      </c>
      <c r="CP31">
        <f t="shared" si="31"/>
        <v>0</v>
      </c>
      <c r="CQ31">
        <f t="shared" si="32"/>
        <v>0</v>
      </c>
      <c r="CR31">
        <f>(ROUND((ROUND(((ET31)*AV31*1),2)*BB31),2)+ROUND((ROUND(((AE31-(EU31))*AV31*1),2)*BS31),2))</f>
        <v>0</v>
      </c>
      <c r="CS31">
        <f>(ROUND((ROUND(((EU31)*AV31*1),2)*BS31),2)+ROUND((ROUND(((AE31-(EU31))*AV31*1),2)*BS31),2))</f>
        <v>0</v>
      </c>
      <c r="CT31">
        <f t="shared" si="33"/>
        <v>0</v>
      </c>
      <c r="CU31">
        <f t="shared" si="34"/>
        <v>0</v>
      </c>
      <c r="CV31">
        <f t="shared" si="35"/>
        <v>0</v>
      </c>
      <c r="CW31">
        <f t="shared" si="36"/>
        <v>0</v>
      </c>
      <c r="CX31">
        <f t="shared" si="37"/>
        <v>0</v>
      </c>
      <c r="CY31">
        <f>(ROUND((((S31+ROUND((ROUND(((EU31)*AV31*1),2)*BS31),2))*AT31)/100),2)+ROUND(((ROUND((ROUND(((AE31-(EU31))*AV31*1),2)*BS31),2)*AT31)/100),2))</f>
        <v>0</v>
      </c>
      <c r="CZ31">
        <f>(ROUND((((S31+ROUND((ROUND(((EU31)*AV31*1),2)*BS31),2))*AU31)/100),2)+ROUND(((ROUND((ROUND(((AE31-(EU31))*AV31*1),2)*BS31),2)*AU31)/100),2))</f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1010</v>
      </c>
      <c r="DV31" t="s">
        <v>32</v>
      </c>
      <c r="DW31" t="s">
        <v>32</v>
      </c>
      <c r="DX31">
        <v>1</v>
      </c>
      <c r="DZ31" t="s">
        <v>3</v>
      </c>
      <c r="EA31" t="s">
        <v>3</v>
      </c>
      <c r="EB31" t="s">
        <v>3</v>
      </c>
      <c r="EC31" t="s">
        <v>3</v>
      </c>
      <c r="EE31">
        <v>76282301</v>
      </c>
      <c r="EF31">
        <v>40</v>
      </c>
      <c r="EG31" t="s">
        <v>20</v>
      </c>
      <c r="EH31">
        <v>0</v>
      </c>
      <c r="EI31" t="s">
        <v>3</v>
      </c>
      <c r="EJ31">
        <v>2</v>
      </c>
      <c r="EK31">
        <v>67</v>
      </c>
      <c r="EL31" t="s">
        <v>21</v>
      </c>
      <c r="EM31" t="s">
        <v>22</v>
      </c>
      <c r="EO31" t="s">
        <v>28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FQ31">
        <v>0</v>
      </c>
      <c r="FR31">
        <v>0</v>
      </c>
      <c r="FS31">
        <v>0</v>
      </c>
      <c r="FX31">
        <v>97</v>
      </c>
      <c r="FY31">
        <v>51</v>
      </c>
      <c r="GA31" t="s">
        <v>3</v>
      </c>
      <c r="GD31">
        <v>1</v>
      </c>
      <c r="GF31">
        <v>-1431231368</v>
      </c>
      <c r="GG31">
        <v>2</v>
      </c>
      <c r="GH31">
        <v>0</v>
      </c>
      <c r="GI31">
        <v>-2</v>
      </c>
      <c r="GJ31">
        <v>0</v>
      </c>
      <c r="GK31">
        <v>0</v>
      </c>
      <c r="GL31">
        <f t="shared" si="38"/>
        <v>0</v>
      </c>
      <c r="GM31">
        <f t="shared" si="39"/>
        <v>0</v>
      </c>
      <c r="GN31">
        <f t="shared" si="40"/>
        <v>0</v>
      </c>
      <c r="GO31">
        <f t="shared" si="41"/>
        <v>0</v>
      </c>
      <c r="GP31">
        <f t="shared" si="42"/>
        <v>0</v>
      </c>
      <c r="GR31">
        <v>0</v>
      </c>
      <c r="GS31">
        <v>0</v>
      </c>
      <c r="GT31">
        <v>0</v>
      </c>
      <c r="GU31" t="s">
        <v>3</v>
      </c>
      <c r="GV31">
        <f t="shared" si="43"/>
        <v>0</v>
      </c>
      <c r="GW31">
        <v>1</v>
      </c>
      <c r="GX31">
        <f t="shared" si="44"/>
        <v>0</v>
      </c>
      <c r="HA31">
        <v>0</v>
      </c>
      <c r="HB31">
        <v>0</v>
      </c>
      <c r="HC31">
        <f t="shared" si="45"/>
        <v>0</v>
      </c>
      <c r="HE31" t="s">
        <v>3</v>
      </c>
      <c r="HF31" t="s">
        <v>3</v>
      </c>
      <c r="HM31" t="s">
        <v>18</v>
      </c>
      <c r="HN31" t="s">
        <v>3</v>
      </c>
      <c r="HO31" t="s">
        <v>3</v>
      </c>
      <c r="HP31" t="s">
        <v>3</v>
      </c>
      <c r="HQ31" t="s">
        <v>3</v>
      </c>
      <c r="HS31">
        <v>0</v>
      </c>
      <c r="IK31">
        <v>0</v>
      </c>
    </row>
    <row r="32" spans="1:245">
      <c r="A32">
        <v>18</v>
      </c>
      <c r="B32">
        <v>1</v>
      </c>
      <c r="E32" t="s">
        <v>36</v>
      </c>
      <c r="F32" t="s">
        <v>37</v>
      </c>
      <c r="G32" t="s">
        <v>38</v>
      </c>
      <c r="H32" t="s">
        <v>39</v>
      </c>
      <c r="I32">
        <f>I28*J32</f>
        <v>0</v>
      </c>
      <c r="J32">
        <v>0</v>
      </c>
      <c r="K32">
        <v>1E-3</v>
      </c>
      <c r="O32">
        <f t="shared" si="21"/>
        <v>0</v>
      </c>
      <c r="P32">
        <f t="shared" si="22"/>
        <v>0</v>
      </c>
      <c r="Q32">
        <f>(ROUND((ROUND(((ET32)*AV32*I32),2)*BB32),2)+ROUND((ROUND(((AE32-(EU32))*AV32*I32),2)*BS32),2))</f>
        <v>0</v>
      </c>
      <c r="R32">
        <f>(ROUND((ROUND(((EU32)*AV32*I32),2)*BS32),2)+ROUND((ROUND(((AE32-(EU32))*AV32*I32),2)*BS32),2))</f>
        <v>0</v>
      </c>
      <c r="S32">
        <f t="shared" si="23"/>
        <v>0</v>
      </c>
      <c r="T32">
        <f t="shared" si="24"/>
        <v>0</v>
      </c>
      <c r="U32">
        <f t="shared" si="25"/>
        <v>0</v>
      </c>
      <c r="V32">
        <f t="shared" si="26"/>
        <v>0</v>
      </c>
      <c r="W32">
        <f t="shared" si="27"/>
        <v>0</v>
      </c>
      <c r="X32">
        <f>(ROUND((((S32+ROUND((ROUND(((EU32)*AV32*I32),2)*BS32),2))*AT32)/100),2)+ROUND(((ROUND((ROUND(((AE32-(EU32))*AV32*I32),2)*BS32),2)*AT32)/100),2))</f>
        <v>0</v>
      </c>
      <c r="Y32">
        <f>(ROUND((((S32+ROUND((ROUND(((EU32)*AV32*I32),2)*BS32),2))*AU32)/100),2)+ROUND(((ROUND((ROUND(((AE32-(EU32))*AV32*I32),2)*BS32),2)*AU32)/100),2))</f>
        <v>0</v>
      </c>
      <c r="AA32">
        <v>76282491</v>
      </c>
      <c r="AB32">
        <f t="shared" si="28"/>
        <v>0</v>
      </c>
      <c r="AC32">
        <f>ROUND((ES32),6)</f>
        <v>0</v>
      </c>
      <c r="AD32">
        <f>ROUND((((ET32)-(EU32))+AE32),6)</f>
        <v>0</v>
      </c>
      <c r="AE32">
        <f t="shared" si="46"/>
        <v>0</v>
      </c>
      <c r="AF32">
        <f t="shared" si="46"/>
        <v>0</v>
      </c>
      <c r="AG32">
        <f t="shared" si="29"/>
        <v>0</v>
      </c>
      <c r="AH32">
        <f t="shared" si="47"/>
        <v>0</v>
      </c>
      <c r="AI32">
        <f t="shared" si="47"/>
        <v>0</v>
      </c>
      <c r="AJ32">
        <f t="shared" si="30"/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97</v>
      </c>
      <c r="AU32">
        <v>51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3</v>
      </c>
      <c r="BI32">
        <v>2</v>
      </c>
      <c r="BJ32" t="s">
        <v>3</v>
      </c>
      <c r="BM32">
        <v>67</v>
      </c>
      <c r="BN32">
        <v>0</v>
      </c>
      <c r="BO32" t="s">
        <v>3</v>
      </c>
      <c r="BP32">
        <v>0</v>
      </c>
      <c r="BQ32">
        <v>40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97</v>
      </c>
      <c r="CA32">
        <v>51</v>
      </c>
      <c r="CB32" t="s">
        <v>3</v>
      </c>
      <c r="CE32">
        <v>1566</v>
      </c>
      <c r="CF32">
        <v>0</v>
      </c>
      <c r="CG32">
        <v>0</v>
      </c>
      <c r="CM32">
        <v>0</v>
      </c>
      <c r="CN32" t="s">
        <v>452</v>
      </c>
      <c r="CO32">
        <v>0</v>
      </c>
      <c r="CP32">
        <f t="shared" si="31"/>
        <v>0</v>
      </c>
      <c r="CQ32">
        <f t="shared" si="32"/>
        <v>0</v>
      </c>
      <c r="CR32">
        <f>(ROUND((ROUND(((ET32)*AV32*1),2)*BB32),2)+ROUND((ROUND(((AE32-(EU32))*AV32*1),2)*BS32),2))</f>
        <v>0</v>
      </c>
      <c r="CS32">
        <f>(ROUND((ROUND(((EU32)*AV32*1),2)*BS32),2)+ROUND((ROUND(((AE32-(EU32))*AV32*1),2)*BS32),2))</f>
        <v>0</v>
      </c>
      <c r="CT32">
        <f t="shared" si="33"/>
        <v>0</v>
      </c>
      <c r="CU32">
        <f t="shared" si="34"/>
        <v>0</v>
      </c>
      <c r="CV32">
        <f t="shared" si="35"/>
        <v>0</v>
      </c>
      <c r="CW32">
        <f t="shared" si="36"/>
        <v>0</v>
      </c>
      <c r="CX32">
        <f t="shared" si="37"/>
        <v>0</v>
      </c>
      <c r="CY32">
        <f>(ROUND((((S32+ROUND((ROUND(((EU32)*AV32*1),2)*BS32),2))*AT32)/100),2)+ROUND(((ROUND((ROUND(((AE32-(EU32))*AV32*1),2)*BS32),2)*AT32)/100),2))</f>
        <v>0</v>
      </c>
      <c r="CZ32">
        <f>(ROUND((((S32+ROUND((ROUND(((EU32)*AV32*1),2)*BS32),2))*AU32)/100),2)+ROUND(((ROUND((ROUND(((AE32-(EU32))*AV32*1),2)*BS32),2)*AU32)/100),2))</f>
        <v>0</v>
      </c>
      <c r="DC32" t="s">
        <v>3</v>
      </c>
      <c r="DD32" t="s">
        <v>3</v>
      </c>
      <c r="DE32" t="s">
        <v>3</v>
      </c>
      <c r="DF32" t="s">
        <v>3</v>
      </c>
      <c r="DG32" t="s">
        <v>3</v>
      </c>
      <c r="DH32" t="s">
        <v>3</v>
      </c>
      <c r="DI32" t="s">
        <v>3</v>
      </c>
      <c r="DJ32" t="s">
        <v>3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1009</v>
      </c>
      <c r="DV32" t="s">
        <v>39</v>
      </c>
      <c r="DW32" t="s">
        <v>39</v>
      </c>
      <c r="DX32">
        <v>1000</v>
      </c>
      <c r="DZ32" t="s">
        <v>3</v>
      </c>
      <c r="EA32" t="s">
        <v>3</v>
      </c>
      <c r="EB32" t="s">
        <v>3</v>
      </c>
      <c r="EC32" t="s">
        <v>3</v>
      </c>
      <c r="EE32">
        <v>76282301</v>
      </c>
      <c r="EF32">
        <v>40</v>
      </c>
      <c r="EG32" t="s">
        <v>20</v>
      </c>
      <c r="EH32">
        <v>0</v>
      </c>
      <c r="EI32" t="s">
        <v>3</v>
      </c>
      <c r="EJ32">
        <v>2</v>
      </c>
      <c r="EK32">
        <v>67</v>
      </c>
      <c r="EL32" t="s">
        <v>21</v>
      </c>
      <c r="EM32" t="s">
        <v>22</v>
      </c>
      <c r="EO32" t="s">
        <v>28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FQ32">
        <v>0</v>
      </c>
      <c r="FR32">
        <v>0</v>
      </c>
      <c r="FS32">
        <v>0</v>
      </c>
      <c r="FX32">
        <v>97</v>
      </c>
      <c r="FY32">
        <v>51</v>
      </c>
      <c r="GA32" t="s">
        <v>3</v>
      </c>
      <c r="GD32">
        <v>1</v>
      </c>
      <c r="GF32">
        <v>-21282126</v>
      </c>
      <c r="GG32">
        <v>2</v>
      </c>
      <c r="GH32">
        <v>0</v>
      </c>
      <c r="GI32">
        <v>-2</v>
      </c>
      <c r="GJ32">
        <v>0</v>
      </c>
      <c r="GK32">
        <v>0</v>
      </c>
      <c r="GL32">
        <f t="shared" si="38"/>
        <v>0</v>
      </c>
      <c r="GM32">
        <f t="shared" si="39"/>
        <v>0</v>
      </c>
      <c r="GN32">
        <f t="shared" si="40"/>
        <v>0</v>
      </c>
      <c r="GO32">
        <f t="shared" si="41"/>
        <v>0</v>
      </c>
      <c r="GP32">
        <f t="shared" si="42"/>
        <v>0</v>
      </c>
      <c r="GR32">
        <v>0</v>
      </c>
      <c r="GS32">
        <v>0</v>
      </c>
      <c r="GT32">
        <v>0</v>
      </c>
      <c r="GU32" t="s">
        <v>3</v>
      </c>
      <c r="GV32">
        <f t="shared" si="43"/>
        <v>0</v>
      </c>
      <c r="GW32">
        <v>1</v>
      </c>
      <c r="GX32">
        <f t="shared" si="44"/>
        <v>0</v>
      </c>
      <c r="HA32">
        <v>0</v>
      </c>
      <c r="HB32">
        <v>0</v>
      </c>
      <c r="HC32">
        <f t="shared" si="45"/>
        <v>0</v>
      </c>
      <c r="HE32" t="s">
        <v>3</v>
      </c>
      <c r="HF32" t="s">
        <v>3</v>
      </c>
      <c r="HM32" t="s">
        <v>18</v>
      </c>
      <c r="HN32" t="s">
        <v>3</v>
      </c>
      <c r="HO32" t="s">
        <v>3</v>
      </c>
      <c r="HP32" t="s">
        <v>3</v>
      </c>
      <c r="HQ32" t="s">
        <v>3</v>
      </c>
      <c r="HS32">
        <v>0</v>
      </c>
      <c r="IK32">
        <v>0</v>
      </c>
    </row>
    <row r="33" spans="1:245">
      <c r="A33">
        <v>17</v>
      </c>
      <c r="B33">
        <v>1</v>
      </c>
      <c r="C33">
        <f>ROW(SmtRes!A2)</f>
        <v>2</v>
      </c>
      <c r="E33" t="s">
        <v>40</v>
      </c>
      <c r="F33" t="s">
        <v>41</v>
      </c>
      <c r="G33" t="s">
        <v>42</v>
      </c>
      <c r="H33" t="s">
        <v>16</v>
      </c>
      <c r="I33">
        <v>1</v>
      </c>
      <c r="J33">
        <v>0</v>
      </c>
      <c r="K33">
        <v>1</v>
      </c>
      <c r="O33">
        <f t="shared" si="21"/>
        <v>2294.48</v>
      </c>
      <c r="P33">
        <f t="shared" si="22"/>
        <v>14.29</v>
      </c>
      <c r="Q33">
        <f>(ROUND((ROUND((((ET33*1.2))*AV33*I33),2)*BB33),2)+ROUND((ROUND(((AE33-((EU33*1.2)))*AV33*I33),2)*BS33),2))</f>
        <v>425.52</v>
      </c>
      <c r="R33">
        <f>(ROUND((ROUND((((EU33*1.2))*AV33*I33),2)*BS33),2)+ROUND((ROUND(((AE33-((EU33*1.2)))*AV33*I33),2)*BS33),2))</f>
        <v>218.91</v>
      </c>
      <c r="S33">
        <f t="shared" si="23"/>
        <v>1854.67</v>
      </c>
      <c r="T33">
        <f t="shared" si="24"/>
        <v>0</v>
      </c>
      <c r="U33">
        <f t="shared" si="25"/>
        <v>2.472</v>
      </c>
      <c r="V33">
        <f t="shared" si="26"/>
        <v>0</v>
      </c>
      <c r="W33">
        <f t="shared" si="27"/>
        <v>0</v>
      </c>
      <c r="X33">
        <f>(ROUND((((S33+ROUND((ROUND((((EU33*1.2))*AV33*I33),2)*BS33),2))*AT33)/100),2)+ROUND(((ROUND((ROUND(((AE33-((EU33*1.2)))*AV33*I33),2)*BS33),2)*AT33)/100),2))</f>
        <v>2011.37</v>
      </c>
      <c r="Y33">
        <f>(ROUND((((S33+ROUND((ROUND((((EU33*1.2))*AV33*I33),2)*BS33),2))*AU33)/100),2)+ROUND(((ROUND((ROUND(((AE33-((EU33*1.2)))*AV33*I33),2)*BS33),2)*AU33)/100),2))</f>
        <v>1057.53</v>
      </c>
      <c r="AA33">
        <v>76282491</v>
      </c>
      <c r="AB33">
        <f t="shared" si="28"/>
        <v>54.475999999999999</v>
      </c>
      <c r="AC33">
        <f>ROUND(((ES33*1)),6)</f>
        <v>1.46</v>
      </c>
      <c r="AD33">
        <f>ROUND(((((ET33*1.2))-((EU33*1.2)))+AE33),6)</f>
        <v>20.904</v>
      </c>
      <c r="AE33">
        <f>ROUND(((EU33*1.2)),6)</f>
        <v>3.7919999999999998</v>
      </c>
      <c r="AF33">
        <f>ROUND(((EV33*1.2)),6)</f>
        <v>32.112000000000002</v>
      </c>
      <c r="AG33">
        <f t="shared" si="29"/>
        <v>0</v>
      </c>
      <c r="AH33">
        <f>((EW33*1.2))</f>
        <v>2.472</v>
      </c>
      <c r="AI33">
        <f>((EX33*1.2))</f>
        <v>0</v>
      </c>
      <c r="AJ33">
        <f t="shared" si="30"/>
        <v>0</v>
      </c>
      <c r="AK33">
        <v>45.64</v>
      </c>
      <c r="AL33">
        <v>1.46</v>
      </c>
      <c r="AM33">
        <v>17.420000000000002</v>
      </c>
      <c r="AN33">
        <v>3.16</v>
      </c>
      <c r="AO33">
        <v>26.76</v>
      </c>
      <c r="AP33">
        <v>0</v>
      </c>
      <c r="AQ33">
        <v>2.06</v>
      </c>
      <c r="AR33">
        <v>0</v>
      </c>
      <c r="AS33">
        <v>0</v>
      </c>
      <c r="AT33">
        <v>97</v>
      </c>
      <c r="AU33">
        <v>51</v>
      </c>
      <c r="AV33">
        <v>1</v>
      </c>
      <c r="AW33">
        <v>1</v>
      </c>
      <c r="AZ33">
        <v>1</v>
      </c>
      <c r="BA33">
        <v>57.76</v>
      </c>
      <c r="BB33">
        <v>20.36</v>
      </c>
      <c r="BC33">
        <v>9.7899999999999991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2</v>
      </c>
      <c r="BJ33" t="s">
        <v>43</v>
      </c>
      <c r="BM33">
        <v>67</v>
      </c>
      <c r="BN33">
        <v>0</v>
      </c>
      <c r="BO33" t="s">
        <v>41</v>
      </c>
      <c r="BP33">
        <v>1</v>
      </c>
      <c r="BQ33">
        <v>40</v>
      </c>
      <c r="BR33">
        <v>0</v>
      </c>
      <c r="BS33">
        <v>57.76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97</v>
      </c>
      <c r="CA33">
        <v>51</v>
      </c>
      <c r="CB33" t="s">
        <v>3</v>
      </c>
      <c r="CE33">
        <v>1566</v>
      </c>
      <c r="CF33">
        <v>0</v>
      </c>
      <c r="CG33">
        <v>0</v>
      </c>
      <c r="CM33">
        <v>0</v>
      </c>
      <c r="CN33" t="s">
        <v>453</v>
      </c>
      <c r="CO33">
        <v>0</v>
      </c>
      <c r="CP33">
        <f t="shared" si="31"/>
        <v>2294.48</v>
      </c>
      <c r="CQ33">
        <f t="shared" si="32"/>
        <v>14.29</v>
      </c>
      <c r="CR33">
        <f>(ROUND((ROUND((((ET33*1.2))*AV33*1),2)*BB33),2)+ROUND((ROUND(((AE33-((EU33*1.2)))*AV33*1),2)*BS33),2))</f>
        <v>425.52</v>
      </c>
      <c r="CS33">
        <f>(ROUND((ROUND((((EU33*1.2))*AV33*1),2)*BS33),2)+ROUND((ROUND(((AE33-((EU33*1.2)))*AV33*1),2)*BS33),2))</f>
        <v>218.91</v>
      </c>
      <c r="CT33">
        <f t="shared" si="33"/>
        <v>1854.67</v>
      </c>
      <c r="CU33">
        <f t="shared" si="34"/>
        <v>0</v>
      </c>
      <c r="CV33">
        <f t="shared" si="35"/>
        <v>2.472</v>
      </c>
      <c r="CW33">
        <f t="shared" si="36"/>
        <v>0</v>
      </c>
      <c r="CX33">
        <f t="shared" si="37"/>
        <v>0</v>
      </c>
      <c r="CY33">
        <f>(ROUND((((S33+ROUND((ROUND((((EU33*1.2))*AV33*1),2)*BS33),2))*AT33)/100),2)+ROUND(((ROUND((ROUND(((AE33-((EU33*1.2)))*AV33*1),2)*BS33),2)*AT33)/100),2))</f>
        <v>2011.37</v>
      </c>
      <c r="CZ33">
        <f>(ROUND((((S33+ROUND((ROUND((((EU33*1.2))*AV33*1),2)*BS33),2))*AU33)/100),2)+ROUND(((ROUND((ROUND(((AE33-((EU33*1.2)))*AV33*1),2)*BS33),2)*AU33)/100),2))</f>
        <v>1057.53</v>
      </c>
      <c r="DC33" t="s">
        <v>3</v>
      </c>
      <c r="DD33" t="s">
        <v>44</v>
      </c>
      <c r="DE33" t="s">
        <v>45</v>
      </c>
      <c r="DF33" t="s">
        <v>45</v>
      </c>
      <c r="DG33" t="s">
        <v>45</v>
      </c>
      <c r="DH33" t="s">
        <v>3</v>
      </c>
      <c r="DI33" t="s">
        <v>45</v>
      </c>
      <c r="DJ33" t="s">
        <v>45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1013</v>
      </c>
      <c r="DV33" t="s">
        <v>16</v>
      </c>
      <c r="DW33" t="s">
        <v>16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76282301</v>
      </c>
      <c r="EF33">
        <v>40</v>
      </c>
      <c r="EG33" t="s">
        <v>20</v>
      </c>
      <c r="EH33">
        <v>0</v>
      </c>
      <c r="EI33" t="s">
        <v>3</v>
      </c>
      <c r="EJ33">
        <v>2</v>
      </c>
      <c r="EK33">
        <v>67</v>
      </c>
      <c r="EL33" t="s">
        <v>21</v>
      </c>
      <c r="EM33" t="s">
        <v>22</v>
      </c>
      <c r="EO33" t="s">
        <v>3</v>
      </c>
      <c r="EQ33">
        <v>0</v>
      </c>
      <c r="ER33">
        <v>45.64</v>
      </c>
      <c r="ES33">
        <v>1.46</v>
      </c>
      <c r="ET33">
        <v>17.420000000000002</v>
      </c>
      <c r="EU33">
        <v>3.16</v>
      </c>
      <c r="EV33">
        <v>26.76</v>
      </c>
      <c r="EW33">
        <v>2.06</v>
      </c>
      <c r="EX33">
        <v>0</v>
      </c>
      <c r="EY33">
        <v>0</v>
      </c>
      <c r="FQ33">
        <v>0</v>
      </c>
      <c r="FR33">
        <v>0</v>
      </c>
      <c r="FS33">
        <v>0</v>
      </c>
      <c r="FX33">
        <v>97</v>
      </c>
      <c r="FY33">
        <v>51</v>
      </c>
      <c r="GA33" t="s">
        <v>3</v>
      </c>
      <c r="GD33">
        <v>1</v>
      </c>
      <c r="GF33">
        <v>-208332064</v>
      </c>
      <c r="GG33">
        <v>2</v>
      </c>
      <c r="GH33">
        <v>0</v>
      </c>
      <c r="GI33">
        <v>2</v>
      </c>
      <c r="GJ33">
        <v>0</v>
      </c>
      <c r="GK33">
        <v>0</v>
      </c>
      <c r="GL33">
        <f t="shared" si="38"/>
        <v>0</v>
      </c>
      <c r="GM33">
        <f t="shared" si="39"/>
        <v>5363.38</v>
      </c>
      <c r="GN33">
        <f t="shared" si="40"/>
        <v>0</v>
      </c>
      <c r="GO33">
        <f t="shared" si="41"/>
        <v>5363.38</v>
      </c>
      <c r="GP33">
        <f t="shared" si="42"/>
        <v>0</v>
      </c>
      <c r="GR33">
        <v>0</v>
      </c>
      <c r="GS33">
        <v>7</v>
      </c>
      <c r="GT33">
        <v>0</v>
      </c>
      <c r="GU33" t="s">
        <v>3</v>
      </c>
      <c r="GV33">
        <f t="shared" si="43"/>
        <v>0</v>
      </c>
      <c r="GW33">
        <v>1</v>
      </c>
      <c r="GX33">
        <f t="shared" si="44"/>
        <v>0</v>
      </c>
      <c r="HA33">
        <v>0</v>
      </c>
      <c r="HB33">
        <v>0</v>
      </c>
      <c r="HC33">
        <f t="shared" si="45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HS33">
        <v>0</v>
      </c>
      <c r="IK33">
        <v>0</v>
      </c>
    </row>
    <row r="34" spans="1:245">
      <c r="A34">
        <v>18</v>
      </c>
      <c r="B34">
        <v>1</v>
      </c>
      <c r="C34">
        <v>1</v>
      </c>
      <c r="E34" t="s">
        <v>46</v>
      </c>
      <c r="F34" t="s">
        <v>25</v>
      </c>
      <c r="G34" t="s">
        <v>26</v>
      </c>
      <c r="H34" t="s">
        <v>27</v>
      </c>
      <c r="I34">
        <f>I33*J34</f>
        <v>0.1</v>
      </c>
      <c r="J34">
        <v>0.1</v>
      </c>
      <c r="K34">
        <v>0.1</v>
      </c>
      <c r="O34">
        <f t="shared" si="21"/>
        <v>0</v>
      </c>
      <c r="P34">
        <f t="shared" si="22"/>
        <v>0</v>
      </c>
      <c r="Q34">
        <f>(ROUND((ROUND(((ET34)*AV34*I34),2)*BB34),2)+ROUND((ROUND(((AE34-(EU34))*AV34*I34),2)*BS34),2))</f>
        <v>0</v>
      </c>
      <c r="R34">
        <f>(ROUND((ROUND(((EU34)*AV34*I34),2)*BS34),2)+ROUND((ROUND(((AE34-(EU34))*AV34*I34),2)*BS34),2))</f>
        <v>0</v>
      </c>
      <c r="S34">
        <f t="shared" si="23"/>
        <v>0</v>
      </c>
      <c r="T34">
        <f t="shared" si="24"/>
        <v>0</v>
      </c>
      <c r="U34">
        <f t="shared" si="25"/>
        <v>0</v>
      </c>
      <c r="V34">
        <f t="shared" si="26"/>
        <v>0</v>
      </c>
      <c r="W34">
        <f t="shared" si="27"/>
        <v>0</v>
      </c>
      <c r="X34">
        <f>(ROUND((((S34+ROUND((ROUND(((EU34)*AV34*I34),2)*BS34),2))*AT34)/100),2)+ROUND(((ROUND((ROUND(((AE34-(EU34))*AV34*I34),2)*BS34),2)*AT34)/100),2))</f>
        <v>0</v>
      </c>
      <c r="Y34">
        <f>(ROUND((((S34+ROUND((ROUND(((EU34)*AV34*I34),2)*BS34),2))*AU34)/100),2)+ROUND(((ROUND((ROUND(((AE34-(EU34))*AV34*I34),2)*BS34),2)*AU34)/100),2))</f>
        <v>0</v>
      </c>
      <c r="AA34">
        <v>76282491</v>
      </c>
      <c r="AB34">
        <f t="shared" si="28"/>
        <v>0</v>
      </c>
      <c r="AC34">
        <f>ROUND((ES34),6)</f>
        <v>0</v>
      </c>
      <c r="AD34">
        <f>ROUND((((ET34)-(EU34))+AE34),6)</f>
        <v>0</v>
      </c>
      <c r="AE34">
        <f t="shared" ref="AE34:AF36" si="48">ROUND((EU34),6)</f>
        <v>0</v>
      </c>
      <c r="AF34">
        <f t="shared" si="48"/>
        <v>0</v>
      </c>
      <c r="AG34">
        <f t="shared" si="29"/>
        <v>0</v>
      </c>
      <c r="AH34">
        <f t="shared" ref="AH34:AI36" si="49">(EW34)</f>
        <v>0</v>
      </c>
      <c r="AI34">
        <f t="shared" si="49"/>
        <v>0</v>
      </c>
      <c r="AJ34">
        <f t="shared" si="30"/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97</v>
      </c>
      <c r="AU34">
        <v>51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3</v>
      </c>
      <c r="BI34">
        <v>2</v>
      </c>
      <c r="BJ34" t="s">
        <v>3</v>
      </c>
      <c r="BM34">
        <v>67</v>
      </c>
      <c r="BN34">
        <v>0</v>
      </c>
      <c r="BO34" t="s">
        <v>3</v>
      </c>
      <c r="BP34">
        <v>0</v>
      </c>
      <c r="BQ34">
        <v>40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97</v>
      </c>
      <c r="CA34">
        <v>51</v>
      </c>
      <c r="CB34" t="s">
        <v>3</v>
      </c>
      <c r="CE34">
        <v>1566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31"/>
        <v>0</v>
      </c>
      <c r="CQ34">
        <f t="shared" si="32"/>
        <v>0</v>
      </c>
      <c r="CR34">
        <f>(ROUND((ROUND(((ET34)*AV34*1),2)*BB34),2)+ROUND((ROUND(((AE34-(EU34))*AV34*1),2)*BS34),2))</f>
        <v>0</v>
      </c>
      <c r="CS34">
        <f>(ROUND((ROUND(((EU34)*AV34*1),2)*BS34),2)+ROUND((ROUND(((AE34-(EU34))*AV34*1),2)*BS34),2))</f>
        <v>0</v>
      </c>
      <c r="CT34">
        <f t="shared" si="33"/>
        <v>0</v>
      </c>
      <c r="CU34">
        <f t="shared" si="34"/>
        <v>0</v>
      </c>
      <c r="CV34">
        <f t="shared" si="35"/>
        <v>0</v>
      </c>
      <c r="CW34">
        <f t="shared" si="36"/>
        <v>0</v>
      </c>
      <c r="CX34">
        <f t="shared" si="37"/>
        <v>0</v>
      </c>
      <c r="CY34">
        <f>(ROUND((((S34+ROUND((ROUND(((EU34)*AV34*1),2)*BS34),2))*AT34)/100),2)+ROUND(((ROUND((ROUND(((AE34-(EU34))*AV34*1),2)*BS34),2)*AT34)/100),2))</f>
        <v>0</v>
      </c>
      <c r="CZ34">
        <f>(ROUND((((S34+ROUND((ROUND(((EU34)*AV34*1),2)*BS34),2))*AU34)/100),2)+ROUND(((ROUND((ROUND(((AE34-(EU34))*AV34*1),2)*BS34),2)*AU34)/100),2))</f>
        <v>0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1009</v>
      </c>
      <c r="DV34" t="s">
        <v>27</v>
      </c>
      <c r="DW34" t="s">
        <v>27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76282301</v>
      </c>
      <c r="EF34">
        <v>40</v>
      </c>
      <c r="EG34" t="s">
        <v>20</v>
      </c>
      <c r="EH34">
        <v>0</v>
      </c>
      <c r="EI34" t="s">
        <v>3</v>
      </c>
      <c r="EJ34">
        <v>2</v>
      </c>
      <c r="EK34">
        <v>67</v>
      </c>
      <c r="EL34" t="s">
        <v>21</v>
      </c>
      <c r="EM34" t="s">
        <v>22</v>
      </c>
      <c r="EO34" t="s">
        <v>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FQ34">
        <v>0</v>
      </c>
      <c r="FR34">
        <v>0</v>
      </c>
      <c r="FS34">
        <v>0</v>
      </c>
      <c r="FX34">
        <v>97</v>
      </c>
      <c r="FY34">
        <v>51</v>
      </c>
      <c r="GA34" t="s">
        <v>3</v>
      </c>
      <c r="GD34">
        <v>1</v>
      </c>
      <c r="GF34">
        <v>-63099341</v>
      </c>
      <c r="GG34">
        <v>2</v>
      </c>
      <c r="GH34">
        <v>0</v>
      </c>
      <c r="GI34">
        <v>-2</v>
      </c>
      <c r="GJ34">
        <v>0</v>
      </c>
      <c r="GK34">
        <v>0</v>
      </c>
      <c r="GL34">
        <f t="shared" si="38"/>
        <v>0</v>
      </c>
      <c r="GM34">
        <f t="shared" si="39"/>
        <v>0</v>
      </c>
      <c r="GN34">
        <f t="shared" si="40"/>
        <v>0</v>
      </c>
      <c r="GO34">
        <f t="shared" si="41"/>
        <v>0</v>
      </c>
      <c r="GP34">
        <f t="shared" si="42"/>
        <v>0</v>
      </c>
      <c r="GR34">
        <v>0</v>
      </c>
      <c r="GS34">
        <v>0</v>
      </c>
      <c r="GT34">
        <v>0</v>
      </c>
      <c r="GU34" t="s">
        <v>3</v>
      </c>
      <c r="GV34">
        <f t="shared" si="43"/>
        <v>0</v>
      </c>
      <c r="GW34">
        <v>1</v>
      </c>
      <c r="GX34">
        <f t="shared" si="44"/>
        <v>0</v>
      </c>
      <c r="HA34">
        <v>0</v>
      </c>
      <c r="HB34">
        <v>0</v>
      </c>
      <c r="HC34">
        <f t="shared" si="45"/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HS34">
        <v>0</v>
      </c>
      <c r="IK34">
        <v>0</v>
      </c>
    </row>
    <row r="35" spans="1:245">
      <c r="A35">
        <v>18</v>
      </c>
      <c r="B35">
        <v>1</v>
      </c>
      <c r="C35">
        <v>2</v>
      </c>
      <c r="E35" t="s">
        <v>47</v>
      </c>
      <c r="F35" t="s">
        <v>48</v>
      </c>
      <c r="G35" t="s">
        <v>49</v>
      </c>
      <c r="H35" t="s">
        <v>32</v>
      </c>
      <c r="I35">
        <f>I33*J35</f>
        <v>1</v>
      </c>
      <c r="J35">
        <v>1</v>
      </c>
      <c r="K35">
        <v>1</v>
      </c>
      <c r="O35">
        <f t="shared" si="21"/>
        <v>0</v>
      </c>
      <c r="P35">
        <f t="shared" si="22"/>
        <v>0</v>
      </c>
      <c r="Q35">
        <f>(ROUND((ROUND(((ET35)*AV35*I35),2)*BB35),2)+ROUND((ROUND(((AE35-(EU35))*AV35*I35),2)*BS35),2))</f>
        <v>0</v>
      </c>
      <c r="R35">
        <f>(ROUND((ROUND(((EU35)*AV35*I35),2)*BS35),2)+ROUND((ROUND(((AE35-(EU35))*AV35*I35),2)*BS35),2))</f>
        <v>0</v>
      </c>
      <c r="S35">
        <f t="shared" si="23"/>
        <v>0</v>
      </c>
      <c r="T35">
        <f t="shared" si="24"/>
        <v>0</v>
      </c>
      <c r="U35">
        <f t="shared" si="25"/>
        <v>0</v>
      </c>
      <c r="V35">
        <f t="shared" si="26"/>
        <v>0</v>
      </c>
      <c r="W35">
        <f t="shared" si="27"/>
        <v>0</v>
      </c>
      <c r="X35">
        <f>(ROUND((((S35+ROUND((ROUND(((EU35)*AV35*I35),2)*BS35),2))*AT35)/100),2)+ROUND(((ROUND((ROUND(((AE35-(EU35))*AV35*I35),2)*BS35),2)*AT35)/100),2))</f>
        <v>0</v>
      </c>
      <c r="Y35">
        <f>(ROUND((((S35+ROUND((ROUND(((EU35)*AV35*I35),2)*BS35),2))*AU35)/100),2)+ROUND(((ROUND((ROUND(((AE35-(EU35))*AV35*I35),2)*BS35),2)*AU35)/100),2))</f>
        <v>0</v>
      </c>
      <c r="AA35">
        <v>76282491</v>
      </c>
      <c r="AB35">
        <f t="shared" si="28"/>
        <v>0</v>
      </c>
      <c r="AC35">
        <f>ROUND((ES35),6)</f>
        <v>0</v>
      </c>
      <c r="AD35">
        <f>ROUND((((ET35)-(EU35))+AE35),6)</f>
        <v>0</v>
      </c>
      <c r="AE35">
        <f t="shared" si="48"/>
        <v>0</v>
      </c>
      <c r="AF35">
        <f t="shared" si="48"/>
        <v>0</v>
      </c>
      <c r="AG35">
        <f t="shared" si="29"/>
        <v>0</v>
      </c>
      <c r="AH35">
        <f t="shared" si="49"/>
        <v>0</v>
      </c>
      <c r="AI35">
        <f t="shared" si="49"/>
        <v>0</v>
      </c>
      <c r="AJ35">
        <f t="shared" si="30"/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97</v>
      </c>
      <c r="AU35">
        <v>51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3</v>
      </c>
      <c r="BI35">
        <v>2</v>
      </c>
      <c r="BJ35" t="s">
        <v>3</v>
      </c>
      <c r="BM35">
        <v>67</v>
      </c>
      <c r="BN35">
        <v>0</v>
      </c>
      <c r="BO35" t="s">
        <v>3</v>
      </c>
      <c r="BP35">
        <v>0</v>
      </c>
      <c r="BQ35">
        <v>40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97</v>
      </c>
      <c r="CA35">
        <v>51</v>
      </c>
      <c r="CB35" t="s">
        <v>3</v>
      </c>
      <c r="CE35">
        <v>1566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 t="shared" si="31"/>
        <v>0</v>
      </c>
      <c r="CQ35">
        <f t="shared" si="32"/>
        <v>0</v>
      </c>
      <c r="CR35">
        <f>(ROUND((ROUND(((ET35)*AV35*1),2)*BB35),2)+ROUND((ROUND(((AE35-(EU35))*AV35*1),2)*BS35),2))</f>
        <v>0</v>
      </c>
      <c r="CS35">
        <f>(ROUND((ROUND(((EU35)*AV35*1),2)*BS35),2)+ROUND((ROUND(((AE35-(EU35))*AV35*1),2)*BS35),2))</f>
        <v>0</v>
      </c>
      <c r="CT35">
        <f t="shared" si="33"/>
        <v>0</v>
      </c>
      <c r="CU35">
        <f t="shared" si="34"/>
        <v>0</v>
      </c>
      <c r="CV35">
        <f t="shared" si="35"/>
        <v>0</v>
      </c>
      <c r="CW35">
        <f t="shared" si="36"/>
        <v>0</v>
      </c>
      <c r="CX35">
        <f t="shared" si="37"/>
        <v>0</v>
      </c>
      <c r="CY35">
        <f>(ROUND((((S35+ROUND((ROUND(((EU35)*AV35*1),2)*BS35),2))*AT35)/100),2)+ROUND(((ROUND((ROUND(((AE35-(EU35))*AV35*1),2)*BS35),2)*AT35)/100),2))</f>
        <v>0</v>
      </c>
      <c r="CZ35">
        <f>(ROUND((((S35+ROUND((ROUND(((EU35)*AV35*1),2)*BS35),2))*AU35)/100),2)+ROUND(((ROUND((ROUND(((AE35-(EU35))*AV35*1),2)*BS35),2)*AU35)/100),2))</f>
        <v>0</v>
      </c>
      <c r="DC35" t="s">
        <v>3</v>
      </c>
      <c r="DD35" t="s">
        <v>3</v>
      </c>
      <c r="DE35" t="s">
        <v>3</v>
      </c>
      <c r="DF35" t="s">
        <v>3</v>
      </c>
      <c r="DG35" t="s">
        <v>3</v>
      </c>
      <c r="DH35" t="s">
        <v>3</v>
      </c>
      <c r="DI35" t="s">
        <v>3</v>
      </c>
      <c r="DJ35" t="s">
        <v>3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1010</v>
      </c>
      <c r="DV35" t="s">
        <v>32</v>
      </c>
      <c r="DW35" t="s">
        <v>32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76282301</v>
      </c>
      <c r="EF35">
        <v>40</v>
      </c>
      <c r="EG35" t="s">
        <v>20</v>
      </c>
      <c r="EH35">
        <v>0</v>
      </c>
      <c r="EI35" t="s">
        <v>3</v>
      </c>
      <c r="EJ35">
        <v>2</v>
      </c>
      <c r="EK35">
        <v>67</v>
      </c>
      <c r="EL35" t="s">
        <v>21</v>
      </c>
      <c r="EM35" t="s">
        <v>22</v>
      </c>
      <c r="EO35" t="s">
        <v>3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FQ35">
        <v>0</v>
      </c>
      <c r="FR35">
        <v>0</v>
      </c>
      <c r="FS35">
        <v>0</v>
      </c>
      <c r="FX35">
        <v>97</v>
      </c>
      <c r="FY35">
        <v>51</v>
      </c>
      <c r="GA35" t="s">
        <v>3</v>
      </c>
      <c r="GD35">
        <v>1</v>
      </c>
      <c r="GF35">
        <v>1628597579</v>
      </c>
      <c r="GG35">
        <v>2</v>
      </c>
      <c r="GH35">
        <v>0</v>
      </c>
      <c r="GI35">
        <v>-2</v>
      </c>
      <c r="GJ35">
        <v>0</v>
      </c>
      <c r="GK35">
        <v>0</v>
      </c>
      <c r="GL35">
        <f t="shared" si="38"/>
        <v>0</v>
      </c>
      <c r="GM35">
        <f t="shared" si="39"/>
        <v>0</v>
      </c>
      <c r="GN35">
        <f t="shared" si="40"/>
        <v>0</v>
      </c>
      <c r="GO35">
        <f t="shared" si="41"/>
        <v>0</v>
      </c>
      <c r="GP35">
        <f t="shared" si="42"/>
        <v>0</v>
      </c>
      <c r="GR35">
        <v>0</v>
      </c>
      <c r="GS35">
        <v>0</v>
      </c>
      <c r="GT35">
        <v>0</v>
      </c>
      <c r="GU35" t="s">
        <v>3</v>
      </c>
      <c r="GV35">
        <f t="shared" si="43"/>
        <v>0</v>
      </c>
      <c r="GW35">
        <v>1</v>
      </c>
      <c r="GX35">
        <f t="shared" si="44"/>
        <v>0</v>
      </c>
      <c r="HA35">
        <v>0</v>
      </c>
      <c r="HB35">
        <v>0</v>
      </c>
      <c r="HC35">
        <f t="shared" si="45"/>
        <v>0</v>
      </c>
      <c r="HE35" t="s">
        <v>3</v>
      </c>
      <c r="HF35" t="s">
        <v>3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HS35">
        <v>0</v>
      </c>
      <c r="IK35">
        <v>0</v>
      </c>
    </row>
    <row r="36" spans="1:245">
      <c r="A36">
        <v>17</v>
      </c>
      <c r="B36">
        <v>1</v>
      </c>
      <c r="E36" t="s">
        <v>50</v>
      </c>
      <c r="F36" t="s">
        <v>51</v>
      </c>
      <c r="G36" t="s">
        <v>52</v>
      </c>
      <c r="H36" t="s">
        <v>32</v>
      </c>
      <c r="I36">
        <v>1</v>
      </c>
      <c r="J36">
        <v>0</v>
      </c>
      <c r="K36">
        <v>1</v>
      </c>
      <c r="O36">
        <f t="shared" si="21"/>
        <v>6455.55</v>
      </c>
      <c r="P36">
        <f>ROUND((ROUND((AC36*I36),2)*BC36),2)</f>
        <v>6455.55</v>
      </c>
      <c r="Q36">
        <f>(ROUND((ROUND(((ET36)*AV36*I36),2)*BB36),2)+ROUND((ROUND(((AE36-(EU36))*AV36*I36),2)*BS36),2))</f>
        <v>0</v>
      </c>
      <c r="R36">
        <f>(ROUND((ROUND(((EU36)*AV36*I36),2)*BS36),2)+ROUND((ROUND(((AE36-(EU36))*AV36*I36),2)*BS36),2))</f>
        <v>0</v>
      </c>
      <c r="S36">
        <f t="shared" si="23"/>
        <v>0</v>
      </c>
      <c r="T36">
        <f t="shared" si="24"/>
        <v>0</v>
      </c>
      <c r="U36">
        <f t="shared" si="25"/>
        <v>0</v>
      </c>
      <c r="V36">
        <f t="shared" si="26"/>
        <v>0</v>
      </c>
      <c r="W36">
        <f t="shared" si="27"/>
        <v>0</v>
      </c>
      <c r="X36">
        <f>(ROUND((((S36+ROUND((ROUND(((EU36)*AV36*I36),2)*BS36),2))*AT36)/100),2)+ROUND(((ROUND((ROUND(((AE36-(EU36))*AV36*I36),2)*BS36),2)*AT36)/100),2))</f>
        <v>0</v>
      </c>
      <c r="Y36">
        <f>(ROUND((((S36+ROUND((ROUND(((EU36)*AV36*I36),2)*BS36),2))*AU36)/100),2)+ROUND(((ROUND((ROUND(((AE36-(EU36))*AV36*I36),2)*BS36),2)*AU36)/100),2))</f>
        <v>0</v>
      </c>
      <c r="AA36">
        <v>76282491</v>
      </c>
      <c r="AB36">
        <f t="shared" si="28"/>
        <v>6455.55</v>
      </c>
      <c r="AC36">
        <f>ROUND((ES36),6)</f>
        <v>6455.55</v>
      </c>
      <c r="AD36">
        <f>ROUND((((ET36)-(EU36))+AE36),6)</f>
        <v>0</v>
      </c>
      <c r="AE36">
        <f t="shared" si="48"/>
        <v>0</v>
      </c>
      <c r="AF36">
        <f t="shared" si="48"/>
        <v>0</v>
      </c>
      <c r="AG36">
        <f t="shared" si="29"/>
        <v>0</v>
      </c>
      <c r="AH36">
        <f t="shared" si="49"/>
        <v>0</v>
      </c>
      <c r="AI36">
        <f t="shared" si="49"/>
        <v>0</v>
      </c>
      <c r="AJ36">
        <f t="shared" si="30"/>
        <v>0</v>
      </c>
      <c r="AK36">
        <v>6455.55</v>
      </c>
      <c r="AL36">
        <v>6455.55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3</v>
      </c>
      <c r="BI36">
        <v>3</v>
      </c>
      <c r="BJ36" t="s">
        <v>3</v>
      </c>
      <c r="BM36">
        <v>746</v>
      </c>
      <c r="BN36">
        <v>0</v>
      </c>
      <c r="BO36" t="s">
        <v>3</v>
      </c>
      <c r="BP36">
        <v>0</v>
      </c>
      <c r="BQ36">
        <v>130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0</v>
      </c>
      <c r="CA36">
        <v>0</v>
      </c>
      <c r="CB36" t="s">
        <v>3</v>
      </c>
      <c r="CE36">
        <v>1566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31"/>
        <v>6455.55</v>
      </c>
      <c r="CQ36">
        <f>ROUND((ROUND((AC36*1),2)*BC36),2)</f>
        <v>6455.55</v>
      </c>
      <c r="CR36">
        <f>(ROUND((ROUND(((ET36)*AV36*1),2)*BB36),2)+ROUND((ROUND(((AE36-(EU36))*AV36*1),2)*BS36),2))</f>
        <v>0</v>
      </c>
      <c r="CS36">
        <f>(ROUND((ROUND(((EU36)*AV36*1),2)*BS36),2)+ROUND((ROUND(((AE36-(EU36))*AV36*1),2)*BS36),2))</f>
        <v>0</v>
      </c>
      <c r="CT36">
        <f t="shared" si="33"/>
        <v>0</v>
      </c>
      <c r="CU36">
        <f t="shared" si="34"/>
        <v>0</v>
      </c>
      <c r="CV36">
        <f t="shared" si="35"/>
        <v>0</v>
      </c>
      <c r="CW36">
        <f t="shared" si="36"/>
        <v>0</v>
      </c>
      <c r="CX36">
        <f t="shared" si="37"/>
        <v>0</v>
      </c>
      <c r="CY36">
        <f>(ROUND((((S36+ROUND((ROUND(((EU36)*AV36*1),2)*BS36),2))*AT36)/100),2)+ROUND(((ROUND((ROUND(((AE36-(EU36))*AV36*1),2)*BS36),2)*AT36)/100),2))</f>
        <v>0</v>
      </c>
      <c r="CZ36">
        <f>(ROUND((((S36+ROUND((ROUND(((EU36)*AV36*1),2)*BS36),2))*AU36)/100),2)+ROUND(((ROUND((ROUND(((AE36-(EU36))*AV36*1),2)*BS36),2)*AU36)/100),2))</f>
        <v>0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1010</v>
      </c>
      <c r="DV36" t="s">
        <v>32</v>
      </c>
      <c r="DW36" t="s">
        <v>32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76282427</v>
      </c>
      <c r="EF36">
        <v>130</v>
      </c>
      <c r="EG36" t="s">
        <v>53</v>
      </c>
      <c r="EH36">
        <v>0</v>
      </c>
      <c r="EI36" t="s">
        <v>3</v>
      </c>
      <c r="EJ36">
        <v>3</v>
      </c>
      <c r="EK36">
        <v>746</v>
      </c>
      <c r="EL36" t="s">
        <v>54</v>
      </c>
      <c r="EM36" t="s">
        <v>55</v>
      </c>
      <c r="EO36" t="s">
        <v>3</v>
      </c>
      <c r="EQ36">
        <v>0</v>
      </c>
      <c r="ER36">
        <v>6455.55</v>
      </c>
      <c r="ES36">
        <v>6455.55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5</v>
      </c>
      <c r="FC36">
        <v>0</v>
      </c>
      <c r="FD36">
        <v>18</v>
      </c>
      <c r="FF36">
        <v>6379</v>
      </c>
      <c r="FQ36">
        <v>0</v>
      </c>
      <c r="FR36">
        <f>P36</f>
        <v>6455.55</v>
      </c>
      <c r="FS36">
        <v>0</v>
      </c>
      <c r="FX36">
        <v>0</v>
      </c>
      <c r="FY36">
        <v>0</v>
      </c>
      <c r="GA36" t="s">
        <v>56</v>
      </c>
      <c r="GD36">
        <v>1</v>
      </c>
      <c r="GF36">
        <v>720601026</v>
      </c>
      <c r="GG36">
        <v>2</v>
      </c>
      <c r="GH36">
        <v>3</v>
      </c>
      <c r="GI36">
        <v>-2</v>
      </c>
      <c r="GJ36">
        <v>0</v>
      </c>
      <c r="GK36">
        <v>0</v>
      </c>
      <c r="GL36">
        <f t="shared" si="38"/>
        <v>0</v>
      </c>
      <c r="GM36">
        <f t="shared" si="39"/>
        <v>6455.55</v>
      </c>
      <c r="GN36">
        <f t="shared" si="40"/>
        <v>0</v>
      </c>
      <c r="GO36">
        <f t="shared" si="41"/>
        <v>0</v>
      </c>
      <c r="GP36">
        <f t="shared" si="42"/>
        <v>0</v>
      </c>
      <c r="GR36">
        <v>1</v>
      </c>
      <c r="GS36">
        <v>1</v>
      </c>
      <c r="GT36">
        <v>0</v>
      </c>
      <c r="GU36" t="s">
        <v>3</v>
      </c>
      <c r="GV36">
        <f t="shared" si="43"/>
        <v>0</v>
      </c>
      <c r="GW36">
        <v>1</v>
      </c>
      <c r="GX36">
        <f t="shared" si="44"/>
        <v>0</v>
      </c>
      <c r="HA36">
        <v>0</v>
      </c>
      <c r="HB36">
        <v>0</v>
      </c>
      <c r="HC36">
        <f t="shared" si="45"/>
        <v>0</v>
      </c>
      <c r="HE36" t="s">
        <v>57</v>
      </c>
      <c r="HF36" t="s">
        <v>29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HS36">
        <v>0</v>
      </c>
      <c r="IK36">
        <v>0</v>
      </c>
    </row>
    <row r="37" spans="1:245">
      <c r="A37">
        <v>17</v>
      </c>
      <c r="B37">
        <v>1</v>
      </c>
      <c r="E37" t="s">
        <v>58</v>
      </c>
      <c r="F37" t="s">
        <v>14</v>
      </c>
      <c r="G37" t="s">
        <v>59</v>
      </c>
      <c r="H37" t="s">
        <v>16</v>
      </c>
      <c r="I37">
        <v>10</v>
      </c>
      <c r="J37">
        <v>0</v>
      </c>
      <c r="K37">
        <v>10</v>
      </c>
      <c r="O37">
        <f t="shared" si="21"/>
        <v>13227.11</v>
      </c>
      <c r="P37">
        <f t="shared" ref="P37:P46" si="50">ROUND((ROUND((AC37*AW37*I37),2)*BC37),2)</f>
        <v>1533.89</v>
      </c>
      <c r="Q37">
        <f>(ROUND((ROUND((((ET37*1.2))*AV37*I37),2)*BB37),2)+ROUND((ROUND(((AE37-((EU37*1.2)))*AV37*I37),2)*BS37),2))</f>
        <v>118.12</v>
      </c>
      <c r="R37">
        <f>(ROUND((ROUND((((EU37*1.2))*AV37*I37),2)*BS37),2)+ROUND((ROUND(((AE37-((EU37*1.2)))*AV37*I37),2)*BS37),2))</f>
        <v>0</v>
      </c>
      <c r="S37">
        <f t="shared" si="23"/>
        <v>11575.1</v>
      </c>
      <c r="T37">
        <f t="shared" si="24"/>
        <v>0</v>
      </c>
      <c r="U37">
        <f t="shared" si="25"/>
        <v>16.080000000000002</v>
      </c>
      <c r="V37">
        <f t="shared" si="26"/>
        <v>0</v>
      </c>
      <c r="W37">
        <f t="shared" si="27"/>
        <v>0</v>
      </c>
      <c r="X37">
        <f>(ROUND((((S37+ROUND((ROUND((((EU37*1.2))*AV37*I37),2)*BS37),2))*AT37)/100),2)+ROUND(((ROUND((ROUND(((AE37-((EU37*1.2)))*AV37*I37),2)*BS37),2)*AT37)/100),2))</f>
        <v>11227.85</v>
      </c>
      <c r="Y37">
        <f>(ROUND((((S37+ROUND((ROUND((((EU37*1.2))*AV37*I37),2)*BS37),2))*AU37)/100),2)+ROUND(((ROUND((ROUND(((AE37-((EU37*1.2)))*AV37*I37),2)*BS37),2)*AU37)/100),2))</f>
        <v>5903.3</v>
      </c>
      <c r="AA37">
        <v>76282491</v>
      </c>
      <c r="AB37">
        <f t="shared" si="28"/>
        <v>46.258000000000003</v>
      </c>
      <c r="AC37">
        <f>ROUND(((ES37*1)),6)</f>
        <v>25.27</v>
      </c>
      <c r="AD37">
        <f>ROUND(((((ET37*1.2))-((EU37*1.2)))+AE37),6)</f>
        <v>0.94799999999999995</v>
      </c>
      <c r="AE37">
        <f>ROUND(((EU37*1.2)),6)</f>
        <v>0</v>
      </c>
      <c r="AF37">
        <f>ROUND(((EV37*1.2)),6)</f>
        <v>20.04</v>
      </c>
      <c r="AG37">
        <f t="shared" si="29"/>
        <v>0</v>
      </c>
      <c r="AH37">
        <f>((EW37*1.2))</f>
        <v>1.6080000000000001</v>
      </c>
      <c r="AI37">
        <f>((EX37*1.2))</f>
        <v>0</v>
      </c>
      <c r="AJ37">
        <f t="shared" si="30"/>
        <v>0</v>
      </c>
      <c r="AK37">
        <v>42.76</v>
      </c>
      <c r="AL37">
        <v>25.27</v>
      </c>
      <c r="AM37">
        <v>0.79</v>
      </c>
      <c r="AN37">
        <v>0</v>
      </c>
      <c r="AO37">
        <v>16.7</v>
      </c>
      <c r="AP37">
        <v>0</v>
      </c>
      <c r="AQ37">
        <v>1.34</v>
      </c>
      <c r="AR37">
        <v>0</v>
      </c>
      <c r="AS37">
        <v>0</v>
      </c>
      <c r="AT37">
        <v>97</v>
      </c>
      <c r="AU37">
        <v>51</v>
      </c>
      <c r="AV37">
        <v>1</v>
      </c>
      <c r="AW37">
        <v>1</v>
      </c>
      <c r="AZ37">
        <v>1</v>
      </c>
      <c r="BA37">
        <v>57.76</v>
      </c>
      <c r="BB37">
        <v>12.46</v>
      </c>
      <c r="BC37">
        <v>6.07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2</v>
      </c>
      <c r="BJ37" t="s">
        <v>17</v>
      </c>
      <c r="BM37">
        <v>67</v>
      </c>
      <c r="BN37">
        <v>0</v>
      </c>
      <c r="BO37" t="s">
        <v>14</v>
      </c>
      <c r="BP37">
        <v>1</v>
      </c>
      <c r="BQ37">
        <v>40</v>
      </c>
      <c r="BR37">
        <v>0</v>
      </c>
      <c r="BS37">
        <v>57.76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97</v>
      </c>
      <c r="CA37">
        <v>51</v>
      </c>
      <c r="CB37" t="s">
        <v>3</v>
      </c>
      <c r="CE37">
        <v>1566</v>
      </c>
      <c r="CF37">
        <v>0</v>
      </c>
      <c r="CG37">
        <v>0</v>
      </c>
      <c r="CM37">
        <v>0</v>
      </c>
      <c r="CN37" t="s">
        <v>454</v>
      </c>
      <c r="CO37">
        <v>0</v>
      </c>
      <c r="CP37">
        <f t="shared" si="31"/>
        <v>13227.11</v>
      </c>
      <c r="CQ37">
        <f t="shared" ref="CQ37:CQ46" si="51">ROUND((ROUND((AC37*AW37*1),2)*BC37),2)</f>
        <v>153.38999999999999</v>
      </c>
      <c r="CR37">
        <f>(ROUND((ROUND((((ET37*1.2))*AV37*1),2)*BB37),2)+ROUND((ROUND(((AE37-((EU37*1.2)))*AV37*1),2)*BS37),2))</f>
        <v>11.84</v>
      </c>
      <c r="CS37">
        <f>(ROUND((ROUND((((EU37*1.2))*AV37*1),2)*BS37),2)+ROUND((ROUND(((AE37-((EU37*1.2)))*AV37*1),2)*BS37),2))</f>
        <v>0</v>
      </c>
      <c r="CT37">
        <f t="shared" si="33"/>
        <v>1157.51</v>
      </c>
      <c r="CU37">
        <f t="shared" si="34"/>
        <v>0</v>
      </c>
      <c r="CV37">
        <f t="shared" si="35"/>
        <v>1.6080000000000001</v>
      </c>
      <c r="CW37">
        <f t="shared" si="36"/>
        <v>0</v>
      </c>
      <c r="CX37">
        <f t="shared" si="37"/>
        <v>0</v>
      </c>
      <c r="CY37">
        <f>(ROUND((((S37+ROUND((ROUND((((EU37*1.2))*AV37*1),2)*BS37),2))*AT37)/100),2)+ROUND(((ROUND((ROUND(((AE37-((EU37*1.2)))*AV37*1),2)*BS37),2)*AT37)/100),2))</f>
        <v>11227.85</v>
      </c>
      <c r="CZ37">
        <f>(ROUND((((S37+ROUND((ROUND((((EU37*1.2))*AV37*1),2)*BS37),2))*AU37)/100),2)+ROUND(((ROUND((ROUND(((AE37-((EU37*1.2)))*AV37*1),2)*BS37),2)*AU37)/100),2))</f>
        <v>5903.3</v>
      </c>
      <c r="DB37">
        <v>3</v>
      </c>
      <c r="DC37" t="s">
        <v>3</v>
      </c>
      <c r="DD37" t="s">
        <v>60</v>
      </c>
      <c r="DE37" t="s">
        <v>61</v>
      </c>
      <c r="DF37" t="s">
        <v>61</v>
      </c>
      <c r="DG37" t="s">
        <v>61</v>
      </c>
      <c r="DH37" t="s">
        <v>3</v>
      </c>
      <c r="DI37" t="s">
        <v>61</v>
      </c>
      <c r="DJ37" t="s">
        <v>61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1013</v>
      </c>
      <c r="DV37" t="s">
        <v>16</v>
      </c>
      <c r="DW37" t="s">
        <v>16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76282301</v>
      </c>
      <c r="EF37">
        <v>40</v>
      </c>
      <c r="EG37" t="s">
        <v>20</v>
      </c>
      <c r="EH37">
        <v>0</v>
      </c>
      <c r="EI37" t="s">
        <v>3</v>
      </c>
      <c r="EJ37">
        <v>2</v>
      </c>
      <c r="EK37">
        <v>67</v>
      </c>
      <c r="EL37" t="s">
        <v>21</v>
      </c>
      <c r="EM37" t="s">
        <v>22</v>
      </c>
      <c r="EO37" t="s">
        <v>62</v>
      </c>
      <c r="EQ37">
        <v>131072</v>
      </c>
      <c r="ER37">
        <v>42.76</v>
      </c>
      <c r="ES37">
        <v>25.27</v>
      </c>
      <c r="ET37">
        <v>0.79</v>
      </c>
      <c r="EU37">
        <v>0</v>
      </c>
      <c r="EV37">
        <v>16.7</v>
      </c>
      <c r="EW37">
        <v>1.34</v>
      </c>
      <c r="EX37">
        <v>0</v>
      </c>
      <c r="EY37">
        <v>0</v>
      </c>
      <c r="FQ37">
        <v>0</v>
      </c>
      <c r="FR37">
        <v>0</v>
      </c>
      <c r="FS37">
        <v>0</v>
      </c>
      <c r="FX37">
        <v>97</v>
      </c>
      <c r="FY37">
        <v>51</v>
      </c>
      <c r="GA37" t="s">
        <v>3</v>
      </c>
      <c r="GD37">
        <v>1</v>
      </c>
      <c r="GF37">
        <v>-238938447</v>
      </c>
      <c r="GG37">
        <v>2</v>
      </c>
      <c r="GH37">
        <v>0</v>
      </c>
      <c r="GI37">
        <v>2</v>
      </c>
      <c r="GJ37">
        <v>0</v>
      </c>
      <c r="GK37">
        <v>0</v>
      </c>
      <c r="GL37">
        <f t="shared" si="38"/>
        <v>0</v>
      </c>
      <c r="GM37">
        <f t="shared" si="39"/>
        <v>30358.26</v>
      </c>
      <c r="GN37">
        <f t="shared" si="40"/>
        <v>0</v>
      </c>
      <c r="GO37">
        <f t="shared" si="41"/>
        <v>30358.26</v>
      </c>
      <c r="GP37">
        <f t="shared" si="42"/>
        <v>0</v>
      </c>
      <c r="GR37">
        <v>0</v>
      </c>
      <c r="GS37">
        <v>7</v>
      </c>
      <c r="GT37">
        <v>0</v>
      </c>
      <c r="GU37" t="s">
        <v>3</v>
      </c>
      <c r="GV37">
        <f t="shared" si="43"/>
        <v>0</v>
      </c>
      <c r="GW37">
        <v>1</v>
      </c>
      <c r="GX37">
        <f t="shared" si="44"/>
        <v>0</v>
      </c>
      <c r="HA37">
        <v>0</v>
      </c>
      <c r="HB37">
        <v>0</v>
      </c>
      <c r="HC37">
        <f t="shared" si="45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HS37">
        <v>0</v>
      </c>
      <c r="IK37">
        <v>0</v>
      </c>
    </row>
    <row r="38" spans="1:245">
      <c r="A38">
        <v>18</v>
      </c>
      <c r="B38">
        <v>1</v>
      </c>
      <c r="E38" t="s">
        <v>63</v>
      </c>
      <c r="F38" t="s">
        <v>64</v>
      </c>
      <c r="G38" t="s">
        <v>65</v>
      </c>
      <c r="H38" t="s">
        <v>39</v>
      </c>
      <c r="I38">
        <f>I37*J38</f>
        <v>4.8999999999999998E-4</v>
      </c>
      <c r="J38">
        <v>4.8999999999999998E-5</v>
      </c>
      <c r="K38">
        <v>4.9000000000000005E-5</v>
      </c>
      <c r="O38">
        <f t="shared" si="21"/>
        <v>42.09</v>
      </c>
      <c r="P38">
        <f t="shared" si="50"/>
        <v>42.09</v>
      </c>
      <c r="Q38">
        <f>(ROUND((ROUND(((ET38)*AV38*I38),2)*BB38),2)+ROUND((ROUND(((AE38-(EU38))*AV38*I38),2)*BS38),2))</f>
        <v>0</v>
      </c>
      <c r="R38">
        <f>(ROUND((ROUND(((EU38)*AV38*I38),2)*BS38),2)+ROUND((ROUND(((AE38-(EU38))*AV38*I38),2)*BS38),2))</f>
        <v>0</v>
      </c>
      <c r="S38">
        <f t="shared" si="23"/>
        <v>0</v>
      </c>
      <c r="T38">
        <f t="shared" si="24"/>
        <v>0</v>
      </c>
      <c r="U38">
        <f t="shared" si="25"/>
        <v>0</v>
      </c>
      <c r="V38">
        <f t="shared" si="26"/>
        <v>0</v>
      </c>
      <c r="W38">
        <f t="shared" si="27"/>
        <v>0</v>
      </c>
      <c r="X38">
        <f>(ROUND((((S38+ROUND((ROUND(((EU38)*AV38*I38),2)*BS38),2))*AT38)/100),2)+ROUND(((ROUND((ROUND(((AE38-(EU38))*AV38*I38),2)*BS38),2)*AT38)/100),2))</f>
        <v>0</v>
      </c>
      <c r="Y38">
        <f>(ROUND((((S38+ROUND((ROUND(((EU38)*AV38*I38),2)*BS38),2))*AU38)/100),2)+ROUND(((ROUND((ROUND(((AE38-(EU38))*AV38*I38),2)*BS38),2)*AU38)/100),2))</f>
        <v>0</v>
      </c>
      <c r="AA38">
        <v>76282491</v>
      </c>
      <c r="AB38">
        <f t="shared" si="28"/>
        <v>24609.759999999998</v>
      </c>
      <c r="AC38">
        <f>ROUND((ES38),6)</f>
        <v>24609.759999999998</v>
      </c>
      <c r="AD38">
        <f>ROUND((((ET38)-(EU38))+AE38),6)</f>
        <v>0</v>
      </c>
      <c r="AE38">
        <f t="shared" ref="AE38:AF41" si="52">ROUND((EU38),6)</f>
        <v>0</v>
      </c>
      <c r="AF38">
        <f t="shared" si="52"/>
        <v>0</v>
      </c>
      <c r="AG38">
        <f t="shared" si="29"/>
        <v>0</v>
      </c>
      <c r="AH38">
        <f t="shared" ref="AH38:AI41" si="53">(EW38)</f>
        <v>0</v>
      </c>
      <c r="AI38">
        <f t="shared" si="53"/>
        <v>0</v>
      </c>
      <c r="AJ38">
        <f t="shared" si="30"/>
        <v>0</v>
      </c>
      <c r="AK38">
        <v>24609.759999999998</v>
      </c>
      <c r="AL38">
        <v>24609.759999999998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97</v>
      </c>
      <c r="AU38">
        <v>51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3.49</v>
      </c>
      <c r="BD38" t="s">
        <v>3</v>
      </c>
      <c r="BE38" t="s">
        <v>3</v>
      </c>
      <c r="BF38" t="s">
        <v>3</v>
      </c>
      <c r="BG38" t="s">
        <v>3</v>
      </c>
      <c r="BH38">
        <v>3</v>
      </c>
      <c r="BI38">
        <v>2</v>
      </c>
      <c r="BJ38" t="s">
        <v>66</v>
      </c>
      <c r="BM38">
        <v>67</v>
      </c>
      <c r="BN38">
        <v>0</v>
      </c>
      <c r="BO38" t="s">
        <v>64</v>
      </c>
      <c r="BP38">
        <v>1</v>
      </c>
      <c r="BQ38">
        <v>40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97</v>
      </c>
      <c r="CA38">
        <v>51</v>
      </c>
      <c r="CB38" t="s">
        <v>3</v>
      </c>
      <c r="CE38">
        <v>1566</v>
      </c>
      <c r="CF38">
        <v>0</v>
      </c>
      <c r="CG38">
        <v>0</v>
      </c>
      <c r="CM38">
        <v>0</v>
      </c>
      <c r="CN38" t="s">
        <v>454</v>
      </c>
      <c r="CO38">
        <v>0</v>
      </c>
      <c r="CP38">
        <f t="shared" si="31"/>
        <v>42.09</v>
      </c>
      <c r="CQ38">
        <f t="shared" si="51"/>
        <v>85888.06</v>
      </c>
      <c r="CR38">
        <f>(ROUND((ROUND(((ET38)*AV38*1),2)*BB38),2)+ROUND((ROUND(((AE38-(EU38))*AV38*1),2)*BS38),2))</f>
        <v>0</v>
      </c>
      <c r="CS38">
        <f>(ROUND((ROUND(((EU38)*AV38*1),2)*BS38),2)+ROUND((ROUND(((AE38-(EU38))*AV38*1),2)*BS38),2))</f>
        <v>0</v>
      </c>
      <c r="CT38">
        <f t="shared" si="33"/>
        <v>0</v>
      </c>
      <c r="CU38">
        <f t="shared" si="34"/>
        <v>0</v>
      </c>
      <c r="CV38">
        <f t="shared" si="35"/>
        <v>0</v>
      </c>
      <c r="CW38">
        <f t="shared" si="36"/>
        <v>0</v>
      </c>
      <c r="CX38">
        <f t="shared" si="37"/>
        <v>0</v>
      </c>
      <c r="CY38">
        <f>(ROUND((((S38+ROUND((ROUND(((EU38)*AV38*1),2)*BS38),2))*AT38)/100),2)+ROUND(((ROUND((ROUND(((AE38-(EU38))*AV38*1),2)*BS38),2)*AT38)/100),2))</f>
        <v>0</v>
      </c>
      <c r="CZ38">
        <f>(ROUND((((S38+ROUND((ROUND(((EU38)*AV38*1),2)*BS38),2))*AU38)/100),2)+ROUND(((ROUND((ROUND(((AE38-(EU38))*AV38*1),2)*BS38),2)*AU38)/100),2))</f>
        <v>0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1009</v>
      </c>
      <c r="DV38" t="s">
        <v>39</v>
      </c>
      <c r="DW38" t="s">
        <v>39</v>
      </c>
      <c r="DX38">
        <v>1000</v>
      </c>
      <c r="DZ38" t="s">
        <v>3</v>
      </c>
      <c r="EA38" t="s">
        <v>3</v>
      </c>
      <c r="EB38" t="s">
        <v>3</v>
      </c>
      <c r="EC38" t="s">
        <v>3</v>
      </c>
      <c r="EE38">
        <v>76282301</v>
      </c>
      <c r="EF38">
        <v>40</v>
      </c>
      <c r="EG38" t="s">
        <v>20</v>
      </c>
      <c r="EH38">
        <v>0</v>
      </c>
      <c r="EI38" t="s">
        <v>3</v>
      </c>
      <c r="EJ38">
        <v>2</v>
      </c>
      <c r="EK38">
        <v>67</v>
      </c>
      <c r="EL38" t="s">
        <v>21</v>
      </c>
      <c r="EM38" t="s">
        <v>22</v>
      </c>
      <c r="EO38" t="s">
        <v>62</v>
      </c>
      <c r="EQ38">
        <v>0</v>
      </c>
      <c r="ER38">
        <v>24609.759999999998</v>
      </c>
      <c r="ES38">
        <v>24609.759999999998</v>
      </c>
      <c r="ET38">
        <v>0</v>
      </c>
      <c r="EU38">
        <v>0</v>
      </c>
      <c r="EV38">
        <v>0</v>
      </c>
      <c r="EW38">
        <v>0</v>
      </c>
      <c r="EX38">
        <v>0</v>
      </c>
      <c r="FQ38">
        <v>0</v>
      </c>
      <c r="FR38">
        <v>0</v>
      </c>
      <c r="FS38">
        <v>0</v>
      </c>
      <c r="FX38">
        <v>97</v>
      </c>
      <c r="FY38">
        <v>51</v>
      </c>
      <c r="GA38" t="s">
        <v>3</v>
      </c>
      <c r="GD38">
        <v>1</v>
      </c>
      <c r="GF38">
        <v>-566361729</v>
      </c>
      <c r="GG38">
        <v>2</v>
      </c>
      <c r="GH38">
        <v>0</v>
      </c>
      <c r="GI38">
        <v>2</v>
      </c>
      <c r="GJ38">
        <v>0</v>
      </c>
      <c r="GK38">
        <v>0</v>
      </c>
      <c r="GL38">
        <f t="shared" si="38"/>
        <v>0</v>
      </c>
      <c r="GM38">
        <f t="shared" si="39"/>
        <v>42.09</v>
      </c>
      <c r="GN38">
        <f t="shared" si="40"/>
        <v>0</v>
      </c>
      <c r="GO38">
        <f t="shared" si="41"/>
        <v>42.09</v>
      </c>
      <c r="GP38">
        <f t="shared" si="42"/>
        <v>0</v>
      </c>
      <c r="GR38">
        <v>0</v>
      </c>
      <c r="GS38">
        <v>0</v>
      </c>
      <c r="GT38">
        <v>0</v>
      </c>
      <c r="GU38" t="s">
        <v>3</v>
      </c>
      <c r="GV38">
        <f t="shared" si="43"/>
        <v>0</v>
      </c>
      <c r="GW38">
        <v>1</v>
      </c>
      <c r="GX38">
        <f t="shared" si="44"/>
        <v>0</v>
      </c>
      <c r="HA38">
        <v>0</v>
      </c>
      <c r="HB38">
        <v>0</v>
      </c>
      <c r="HC38">
        <f t="shared" si="45"/>
        <v>0</v>
      </c>
      <c r="HE38" t="s">
        <v>3</v>
      </c>
      <c r="HF38" t="s">
        <v>3</v>
      </c>
      <c r="HM38" t="s">
        <v>60</v>
      </c>
      <c r="HN38" t="s">
        <v>3</v>
      </c>
      <c r="HO38" t="s">
        <v>3</v>
      </c>
      <c r="HP38" t="s">
        <v>3</v>
      </c>
      <c r="HQ38" t="s">
        <v>3</v>
      </c>
      <c r="HS38">
        <v>0</v>
      </c>
      <c r="IK38">
        <v>0</v>
      </c>
    </row>
    <row r="39" spans="1:245">
      <c r="A39">
        <v>18</v>
      </c>
      <c r="B39">
        <v>1</v>
      </c>
      <c r="E39" t="s">
        <v>67</v>
      </c>
      <c r="F39" t="s">
        <v>30</v>
      </c>
      <c r="G39" t="s">
        <v>31</v>
      </c>
      <c r="H39" t="s">
        <v>32</v>
      </c>
      <c r="I39">
        <f>I37*J39</f>
        <v>10</v>
      </c>
      <c r="J39">
        <v>1</v>
      </c>
      <c r="K39">
        <v>1</v>
      </c>
      <c r="O39">
        <f t="shared" si="21"/>
        <v>0</v>
      </c>
      <c r="P39">
        <f t="shared" si="50"/>
        <v>0</v>
      </c>
      <c r="Q39">
        <f>(ROUND((ROUND(((ET39)*AV39*I39),2)*BB39),2)+ROUND((ROUND(((AE39-(EU39))*AV39*I39),2)*BS39),2))</f>
        <v>0</v>
      </c>
      <c r="R39">
        <f>(ROUND((ROUND(((EU39)*AV39*I39),2)*BS39),2)+ROUND((ROUND(((AE39-(EU39))*AV39*I39),2)*BS39),2))</f>
        <v>0</v>
      </c>
      <c r="S39">
        <f t="shared" si="23"/>
        <v>0</v>
      </c>
      <c r="T39">
        <f t="shared" si="24"/>
        <v>0</v>
      </c>
      <c r="U39">
        <f t="shared" si="25"/>
        <v>0</v>
      </c>
      <c r="V39">
        <f t="shared" si="26"/>
        <v>0</v>
      </c>
      <c r="W39">
        <f t="shared" si="27"/>
        <v>0</v>
      </c>
      <c r="X39">
        <f>(ROUND((((S39+ROUND((ROUND(((EU39)*AV39*I39),2)*BS39),2))*AT39)/100),2)+ROUND(((ROUND((ROUND(((AE39-(EU39))*AV39*I39),2)*BS39),2)*AT39)/100),2))</f>
        <v>0</v>
      </c>
      <c r="Y39">
        <f>(ROUND((((S39+ROUND((ROUND(((EU39)*AV39*I39),2)*BS39),2))*AU39)/100),2)+ROUND(((ROUND((ROUND(((AE39-(EU39))*AV39*I39),2)*BS39),2)*AU39)/100),2))</f>
        <v>0</v>
      </c>
      <c r="AA39">
        <v>76282491</v>
      </c>
      <c r="AB39">
        <f t="shared" si="28"/>
        <v>0</v>
      </c>
      <c r="AC39">
        <f>ROUND((ES39),6)</f>
        <v>0</v>
      </c>
      <c r="AD39">
        <f>ROUND((((ET39)-(EU39))+AE39),6)</f>
        <v>0</v>
      </c>
      <c r="AE39">
        <f t="shared" si="52"/>
        <v>0</v>
      </c>
      <c r="AF39">
        <f t="shared" si="52"/>
        <v>0</v>
      </c>
      <c r="AG39">
        <f t="shared" si="29"/>
        <v>0</v>
      </c>
      <c r="AH39">
        <f t="shared" si="53"/>
        <v>0</v>
      </c>
      <c r="AI39">
        <f t="shared" si="53"/>
        <v>0</v>
      </c>
      <c r="AJ39">
        <f t="shared" si="30"/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97</v>
      </c>
      <c r="AU39">
        <v>51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3</v>
      </c>
      <c r="BI39">
        <v>2</v>
      </c>
      <c r="BJ39" t="s">
        <v>3</v>
      </c>
      <c r="BM39">
        <v>67</v>
      </c>
      <c r="BN39">
        <v>0</v>
      </c>
      <c r="BO39" t="s">
        <v>3</v>
      </c>
      <c r="BP39">
        <v>0</v>
      </c>
      <c r="BQ39">
        <v>40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97</v>
      </c>
      <c r="CA39">
        <v>51</v>
      </c>
      <c r="CB39" t="s">
        <v>3</v>
      </c>
      <c r="CE39">
        <v>1566</v>
      </c>
      <c r="CF39">
        <v>0</v>
      </c>
      <c r="CG39">
        <v>0</v>
      </c>
      <c r="CM39">
        <v>0</v>
      </c>
      <c r="CN39" t="s">
        <v>454</v>
      </c>
      <c r="CO39">
        <v>0</v>
      </c>
      <c r="CP39">
        <f t="shared" si="31"/>
        <v>0</v>
      </c>
      <c r="CQ39">
        <f t="shared" si="51"/>
        <v>0</v>
      </c>
      <c r="CR39">
        <f>(ROUND((ROUND(((ET39)*AV39*1),2)*BB39),2)+ROUND((ROUND(((AE39-(EU39))*AV39*1),2)*BS39),2))</f>
        <v>0</v>
      </c>
      <c r="CS39">
        <f>(ROUND((ROUND(((EU39)*AV39*1),2)*BS39),2)+ROUND((ROUND(((AE39-(EU39))*AV39*1),2)*BS39),2))</f>
        <v>0</v>
      </c>
      <c r="CT39">
        <f t="shared" si="33"/>
        <v>0</v>
      </c>
      <c r="CU39">
        <f t="shared" si="34"/>
        <v>0</v>
      </c>
      <c r="CV39">
        <f t="shared" si="35"/>
        <v>0</v>
      </c>
      <c r="CW39">
        <f t="shared" si="36"/>
        <v>0</v>
      </c>
      <c r="CX39">
        <f t="shared" si="37"/>
        <v>0</v>
      </c>
      <c r="CY39">
        <f>(ROUND((((S39+ROUND((ROUND(((EU39)*AV39*1),2)*BS39),2))*AT39)/100),2)+ROUND(((ROUND((ROUND(((AE39-(EU39))*AV39*1),2)*BS39),2)*AT39)/100),2))</f>
        <v>0</v>
      </c>
      <c r="CZ39">
        <f>(ROUND((((S39+ROUND((ROUND(((EU39)*AV39*1),2)*BS39),2))*AU39)/100),2)+ROUND(((ROUND((ROUND(((AE39-(EU39))*AV39*1),2)*BS39),2)*AU39)/100),2))</f>
        <v>0</v>
      </c>
      <c r="DC39" t="s">
        <v>3</v>
      </c>
      <c r="DD39" t="s">
        <v>3</v>
      </c>
      <c r="DE39" t="s">
        <v>3</v>
      </c>
      <c r="DF39" t="s">
        <v>3</v>
      </c>
      <c r="DG39" t="s">
        <v>3</v>
      </c>
      <c r="DH39" t="s">
        <v>3</v>
      </c>
      <c r="DI39" t="s">
        <v>3</v>
      </c>
      <c r="DJ39" t="s">
        <v>3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1010</v>
      </c>
      <c r="DV39" t="s">
        <v>32</v>
      </c>
      <c r="DW39" t="s">
        <v>32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76282301</v>
      </c>
      <c r="EF39">
        <v>40</v>
      </c>
      <c r="EG39" t="s">
        <v>20</v>
      </c>
      <c r="EH39">
        <v>0</v>
      </c>
      <c r="EI39" t="s">
        <v>3</v>
      </c>
      <c r="EJ39">
        <v>2</v>
      </c>
      <c r="EK39">
        <v>67</v>
      </c>
      <c r="EL39" t="s">
        <v>21</v>
      </c>
      <c r="EM39" t="s">
        <v>22</v>
      </c>
      <c r="EO39" t="s">
        <v>62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FQ39">
        <v>0</v>
      </c>
      <c r="FR39">
        <v>0</v>
      </c>
      <c r="FS39">
        <v>0</v>
      </c>
      <c r="FX39">
        <v>97</v>
      </c>
      <c r="FY39">
        <v>51</v>
      </c>
      <c r="GA39" t="s">
        <v>3</v>
      </c>
      <c r="GD39">
        <v>1</v>
      </c>
      <c r="GF39">
        <v>1819227632</v>
      </c>
      <c r="GG39">
        <v>2</v>
      </c>
      <c r="GH39">
        <v>0</v>
      </c>
      <c r="GI39">
        <v>-2</v>
      </c>
      <c r="GJ39">
        <v>0</v>
      </c>
      <c r="GK39">
        <v>0</v>
      </c>
      <c r="GL39">
        <f t="shared" si="38"/>
        <v>0</v>
      </c>
      <c r="GM39">
        <f t="shared" si="39"/>
        <v>0</v>
      </c>
      <c r="GN39">
        <f t="shared" si="40"/>
        <v>0</v>
      </c>
      <c r="GO39">
        <f t="shared" si="41"/>
        <v>0</v>
      </c>
      <c r="GP39">
        <f t="shared" si="42"/>
        <v>0</v>
      </c>
      <c r="GR39">
        <v>0</v>
      </c>
      <c r="GS39">
        <v>0</v>
      </c>
      <c r="GT39">
        <v>0</v>
      </c>
      <c r="GU39" t="s">
        <v>3</v>
      </c>
      <c r="GV39">
        <f t="shared" si="43"/>
        <v>0</v>
      </c>
      <c r="GW39">
        <v>1</v>
      </c>
      <c r="GX39">
        <f t="shared" si="44"/>
        <v>0</v>
      </c>
      <c r="HA39">
        <v>0</v>
      </c>
      <c r="HB39">
        <v>0</v>
      </c>
      <c r="HC39">
        <f t="shared" si="45"/>
        <v>0</v>
      </c>
      <c r="HE39" t="s">
        <v>3</v>
      </c>
      <c r="HF39" t="s">
        <v>3</v>
      </c>
      <c r="HM39" t="s">
        <v>60</v>
      </c>
      <c r="HN39" t="s">
        <v>3</v>
      </c>
      <c r="HO39" t="s">
        <v>3</v>
      </c>
      <c r="HP39" t="s">
        <v>3</v>
      </c>
      <c r="HQ39" t="s">
        <v>3</v>
      </c>
      <c r="HS39">
        <v>0</v>
      </c>
      <c r="IK39">
        <v>0</v>
      </c>
    </row>
    <row r="40" spans="1:245">
      <c r="A40">
        <v>18</v>
      </c>
      <c r="B40">
        <v>1</v>
      </c>
      <c r="E40" t="s">
        <v>68</v>
      </c>
      <c r="F40" t="s">
        <v>69</v>
      </c>
      <c r="G40" t="s">
        <v>70</v>
      </c>
      <c r="H40" t="s">
        <v>32</v>
      </c>
      <c r="I40">
        <f>I37*J40</f>
        <v>61</v>
      </c>
      <c r="J40">
        <v>6.1</v>
      </c>
      <c r="K40">
        <v>6.1</v>
      </c>
      <c r="O40">
        <f t="shared" si="21"/>
        <v>1570.14</v>
      </c>
      <c r="P40">
        <f t="shared" si="50"/>
        <v>1570.14</v>
      </c>
      <c r="Q40">
        <f>(ROUND((ROUND(((ET40)*AV40*I40),2)*BB40),2)+ROUND((ROUND(((AE40-(EU40))*AV40*I40),2)*BS40),2))</f>
        <v>0</v>
      </c>
      <c r="R40">
        <f>(ROUND((ROUND(((EU40)*AV40*I40),2)*BS40),2)+ROUND((ROUND(((AE40-(EU40))*AV40*I40),2)*BS40),2))</f>
        <v>0</v>
      </c>
      <c r="S40">
        <f t="shared" si="23"/>
        <v>0</v>
      </c>
      <c r="T40">
        <f t="shared" si="24"/>
        <v>0</v>
      </c>
      <c r="U40">
        <f t="shared" si="25"/>
        <v>0</v>
      </c>
      <c r="V40">
        <f t="shared" si="26"/>
        <v>0</v>
      </c>
      <c r="W40">
        <f t="shared" si="27"/>
        <v>0</v>
      </c>
      <c r="X40">
        <f>(ROUND((((S40+ROUND((ROUND(((EU40)*AV40*I40),2)*BS40),2))*AT40)/100),2)+ROUND(((ROUND((ROUND(((AE40-(EU40))*AV40*I40),2)*BS40),2)*AT40)/100),2))</f>
        <v>0</v>
      </c>
      <c r="Y40">
        <f>(ROUND((((S40+ROUND((ROUND(((EU40)*AV40*I40),2)*BS40),2))*AU40)/100),2)+ROUND(((ROUND((ROUND(((AE40-(EU40))*AV40*I40),2)*BS40),2)*AU40)/100),2))</f>
        <v>0</v>
      </c>
      <c r="AA40">
        <v>76282491</v>
      </c>
      <c r="AB40">
        <f t="shared" si="28"/>
        <v>3.9</v>
      </c>
      <c r="AC40">
        <f>ROUND((ES40),6)</f>
        <v>3.9</v>
      </c>
      <c r="AD40">
        <f>ROUND((((ET40)-(EU40))+AE40),6)</f>
        <v>0</v>
      </c>
      <c r="AE40">
        <f t="shared" si="52"/>
        <v>0</v>
      </c>
      <c r="AF40">
        <f t="shared" si="52"/>
        <v>0</v>
      </c>
      <c r="AG40">
        <f t="shared" si="29"/>
        <v>0</v>
      </c>
      <c r="AH40">
        <f t="shared" si="53"/>
        <v>0</v>
      </c>
      <c r="AI40">
        <f t="shared" si="53"/>
        <v>0</v>
      </c>
      <c r="AJ40">
        <f t="shared" si="30"/>
        <v>0</v>
      </c>
      <c r="AK40">
        <v>3.9</v>
      </c>
      <c r="AL40">
        <v>3.9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97</v>
      </c>
      <c r="AU40">
        <v>51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6.6</v>
      </c>
      <c r="BD40" t="s">
        <v>3</v>
      </c>
      <c r="BE40" t="s">
        <v>3</v>
      </c>
      <c r="BF40" t="s">
        <v>3</v>
      </c>
      <c r="BG40" t="s">
        <v>3</v>
      </c>
      <c r="BH40">
        <v>3</v>
      </c>
      <c r="BI40">
        <v>2</v>
      </c>
      <c r="BJ40" t="s">
        <v>71</v>
      </c>
      <c r="BM40">
        <v>67</v>
      </c>
      <c r="BN40">
        <v>0</v>
      </c>
      <c r="BO40" t="s">
        <v>69</v>
      </c>
      <c r="BP40">
        <v>1</v>
      </c>
      <c r="BQ40">
        <v>40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97</v>
      </c>
      <c r="CA40">
        <v>51</v>
      </c>
      <c r="CB40" t="s">
        <v>3</v>
      </c>
      <c r="CE40">
        <v>1566</v>
      </c>
      <c r="CF40">
        <v>0</v>
      </c>
      <c r="CG40">
        <v>0</v>
      </c>
      <c r="CM40">
        <v>0</v>
      </c>
      <c r="CN40" t="s">
        <v>454</v>
      </c>
      <c r="CO40">
        <v>0</v>
      </c>
      <c r="CP40">
        <f t="shared" si="31"/>
        <v>1570.14</v>
      </c>
      <c r="CQ40">
        <f t="shared" si="51"/>
        <v>25.74</v>
      </c>
      <c r="CR40">
        <f>(ROUND((ROUND(((ET40)*AV40*1),2)*BB40),2)+ROUND((ROUND(((AE40-(EU40))*AV40*1),2)*BS40),2))</f>
        <v>0</v>
      </c>
      <c r="CS40">
        <f>(ROUND((ROUND(((EU40)*AV40*1),2)*BS40),2)+ROUND((ROUND(((AE40-(EU40))*AV40*1),2)*BS40),2))</f>
        <v>0</v>
      </c>
      <c r="CT40">
        <f t="shared" si="33"/>
        <v>0</v>
      </c>
      <c r="CU40">
        <f t="shared" si="34"/>
        <v>0</v>
      </c>
      <c r="CV40">
        <f t="shared" si="35"/>
        <v>0</v>
      </c>
      <c r="CW40">
        <f t="shared" si="36"/>
        <v>0</v>
      </c>
      <c r="CX40">
        <f t="shared" si="37"/>
        <v>0</v>
      </c>
      <c r="CY40">
        <f>(ROUND((((S40+ROUND((ROUND(((EU40)*AV40*1),2)*BS40),2))*AT40)/100),2)+ROUND(((ROUND((ROUND(((AE40-(EU40))*AV40*1),2)*BS40),2)*AT40)/100),2))</f>
        <v>0</v>
      </c>
      <c r="CZ40">
        <f>(ROUND((((S40+ROUND((ROUND(((EU40)*AV40*1),2)*BS40),2))*AU40)/100),2)+ROUND(((ROUND((ROUND(((AE40-(EU40))*AV40*1),2)*BS40),2)*AU40)/100),2))</f>
        <v>0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1010</v>
      </c>
      <c r="DV40" t="s">
        <v>32</v>
      </c>
      <c r="DW40" t="s">
        <v>32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76282301</v>
      </c>
      <c r="EF40">
        <v>40</v>
      </c>
      <c r="EG40" t="s">
        <v>20</v>
      </c>
      <c r="EH40">
        <v>0</v>
      </c>
      <c r="EI40" t="s">
        <v>3</v>
      </c>
      <c r="EJ40">
        <v>2</v>
      </c>
      <c r="EK40">
        <v>67</v>
      </c>
      <c r="EL40" t="s">
        <v>21</v>
      </c>
      <c r="EM40" t="s">
        <v>22</v>
      </c>
      <c r="EO40" t="s">
        <v>62</v>
      </c>
      <c r="EQ40">
        <v>0</v>
      </c>
      <c r="ER40">
        <v>3.9</v>
      </c>
      <c r="ES40">
        <v>3.9</v>
      </c>
      <c r="ET40">
        <v>0</v>
      </c>
      <c r="EU40">
        <v>0</v>
      </c>
      <c r="EV40">
        <v>0</v>
      </c>
      <c r="EW40">
        <v>0</v>
      </c>
      <c r="EX40">
        <v>0</v>
      </c>
      <c r="FQ40">
        <v>0</v>
      </c>
      <c r="FR40">
        <v>0</v>
      </c>
      <c r="FS40">
        <v>0</v>
      </c>
      <c r="FX40">
        <v>97</v>
      </c>
      <c r="FY40">
        <v>51</v>
      </c>
      <c r="GA40" t="s">
        <v>3</v>
      </c>
      <c r="GD40">
        <v>1</v>
      </c>
      <c r="GF40">
        <v>1484810839</v>
      </c>
      <c r="GG40">
        <v>2</v>
      </c>
      <c r="GH40">
        <v>0</v>
      </c>
      <c r="GI40">
        <v>2</v>
      </c>
      <c r="GJ40">
        <v>0</v>
      </c>
      <c r="GK40">
        <v>0</v>
      </c>
      <c r="GL40">
        <f t="shared" si="38"/>
        <v>0</v>
      </c>
      <c r="GM40">
        <f t="shared" si="39"/>
        <v>1570.14</v>
      </c>
      <c r="GN40">
        <f t="shared" si="40"/>
        <v>0</v>
      </c>
      <c r="GO40">
        <f t="shared" si="41"/>
        <v>1570.14</v>
      </c>
      <c r="GP40">
        <f t="shared" si="42"/>
        <v>0</v>
      </c>
      <c r="GR40">
        <v>0</v>
      </c>
      <c r="GS40">
        <v>0</v>
      </c>
      <c r="GT40">
        <v>0</v>
      </c>
      <c r="GU40" t="s">
        <v>3</v>
      </c>
      <c r="GV40">
        <f t="shared" si="43"/>
        <v>0</v>
      </c>
      <c r="GW40">
        <v>1</v>
      </c>
      <c r="GX40">
        <f t="shared" si="44"/>
        <v>0</v>
      </c>
      <c r="HA40">
        <v>0</v>
      </c>
      <c r="HB40">
        <v>0</v>
      </c>
      <c r="HC40">
        <f t="shared" si="45"/>
        <v>0</v>
      </c>
      <c r="HE40" t="s">
        <v>3</v>
      </c>
      <c r="HF40" t="s">
        <v>3</v>
      </c>
      <c r="HM40" t="s">
        <v>60</v>
      </c>
      <c r="HN40" t="s">
        <v>3</v>
      </c>
      <c r="HO40" t="s">
        <v>3</v>
      </c>
      <c r="HP40" t="s">
        <v>3</v>
      </c>
      <c r="HQ40" t="s">
        <v>3</v>
      </c>
      <c r="HS40">
        <v>0</v>
      </c>
      <c r="IK40">
        <v>0</v>
      </c>
    </row>
    <row r="41" spans="1:245">
      <c r="A41">
        <v>18</v>
      </c>
      <c r="B41">
        <v>1</v>
      </c>
      <c r="E41" t="s">
        <v>72</v>
      </c>
      <c r="F41" t="s">
        <v>37</v>
      </c>
      <c r="G41" t="s">
        <v>38</v>
      </c>
      <c r="H41" t="s">
        <v>39</v>
      </c>
      <c r="I41">
        <f>I37*J41</f>
        <v>0.01</v>
      </c>
      <c r="J41">
        <v>1E-3</v>
      </c>
      <c r="K41">
        <v>1E-3</v>
      </c>
      <c r="O41">
        <f t="shared" si="21"/>
        <v>0</v>
      </c>
      <c r="P41">
        <f t="shared" si="50"/>
        <v>0</v>
      </c>
      <c r="Q41">
        <f>(ROUND((ROUND(((ET41)*AV41*I41),2)*BB41),2)+ROUND((ROUND(((AE41-(EU41))*AV41*I41),2)*BS41),2))</f>
        <v>0</v>
      </c>
      <c r="R41">
        <f>(ROUND((ROUND(((EU41)*AV41*I41),2)*BS41),2)+ROUND((ROUND(((AE41-(EU41))*AV41*I41),2)*BS41),2))</f>
        <v>0</v>
      </c>
      <c r="S41">
        <f t="shared" si="23"/>
        <v>0</v>
      </c>
      <c r="T41">
        <f t="shared" si="24"/>
        <v>0</v>
      </c>
      <c r="U41">
        <f t="shared" si="25"/>
        <v>0</v>
      </c>
      <c r="V41">
        <f t="shared" si="26"/>
        <v>0</v>
      </c>
      <c r="W41">
        <f t="shared" si="27"/>
        <v>0</v>
      </c>
      <c r="X41">
        <f>(ROUND((((S41+ROUND((ROUND(((EU41)*AV41*I41),2)*BS41),2))*AT41)/100),2)+ROUND(((ROUND((ROUND(((AE41-(EU41))*AV41*I41),2)*BS41),2)*AT41)/100),2))</f>
        <v>0</v>
      </c>
      <c r="Y41">
        <f>(ROUND((((S41+ROUND((ROUND(((EU41)*AV41*I41),2)*BS41),2))*AU41)/100),2)+ROUND(((ROUND((ROUND(((AE41-(EU41))*AV41*I41),2)*BS41),2)*AU41)/100),2))</f>
        <v>0</v>
      </c>
      <c r="AA41">
        <v>76282491</v>
      </c>
      <c r="AB41">
        <f t="shared" si="28"/>
        <v>0</v>
      </c>
      <c r="AC41">
        <f>ROUND((ES41),6)</f>
        <v>0</v>
      </c>
      <c r="AD41">
        <f>ROUND((((ET41)-(EU41))+AE41),6)</f>
        <v>0</v>
      </c>
      <c r="AE41">
        <f t="shared" si="52"/>
        <v>0</v>
      </c>
      <c r="AF41">
        <f t="shared" si="52"/>
        <v>0</v>
      </c>
      <c r="AG41">
        <f t="shared" si="29"/>
        <v>0</v>
      </c>
      <c r="AH41">
        <f t="shared" si="53"/>
        <v>0</v>
      </c>
      <c r="AI41">
        <f t="shared" si="53"/>
        <v>0</v>
      </c>
      <c r="AJ41">
        <f t="shared" si="30"/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97</v>
      </c>
      <c r="AU41">
        <v>51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3</v>
      </c>
      <c r="BI41">
        <v>2</v>
      </c>
      <c r="BJ41" t="s">
        <v>3</v>
      </c>
      <c r="BM41">
        <v>67</v>
      </c>
      <c r="BN41">
        <v>0</v>
      </c>
      <c r="BO41" t="s">
        <v>3</v>
      </c>
      <c r="BP41">
        <v>0</v>
      </c>
      <c r="BQ41">
        <v>40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97</v>
      </c>
      <c r="CA41">
        <v>51</v>
      </c>
      <c r="CB41" t="s">
        <v>3</v>
      </c>
      <c r="CE41">
        <v>1566</v>
      </c>
      <c r="CF41">
        <v>0</v>
      </c>
      <c r="CG41">
        <v>0</v>
      </c>
      <c r="CM41">
        <v>0</v>
      </c>
      <c r="CN41" t="s">
        <v>454</v>
      </c>
      <c r="CO41">
        <v>0</v>
      </c>
      <c r="CP41">
        <f t="shared" si="31"/>
        <v>0</v>
      </c>
      <c r="CQ41">
        <f t="shared" si="51"/>
        <v>0</v>
      </c>
      <c r="CR41">
        <f>(ROUND((ROUND(((ET41)*AV41*1),2)*BB41),2)+ROUND((ROUND(((AE41-(EU41))*AV41*1),2)*BS41),2))</f>
        <v>0</v>
      </c>
      <c r="CS41">
        <f>(ROUND((ROUND(((EU41)*AV41*1),2)*BS41),2)+ROUND((ROUND(((AE41-(EU41))*AV41*1),2)*BS41),2))</f>
        <v>0</v>
      </c>
      <c r="CT41">
        <f t="shared" si="33"/>
        <v>0</v>
      </c>
      <c r="CU41">
        <f t="shared" si="34"/>
        <v>0</v>
      </c>
      <c r="CV41">
        <f t="shared" si="35"/>
        <v>0</v>
      </c>
      <c r="CW41">
        <f t="shared" si="36"/>
        <v>0</v>
      </c>
      <c r="CX41">
        <f t="shared" si="37"/>
        <v>0</v>
      </c>
      <c r="CY41">
        <f>(ROUND((((S41+ROUND((ROUND(((EU41)*AV41*1),2)*BS41),2))*AT41)/100),2)+ROUND(((ROUND((ROUND(((AE41-(EU41))*AV41*1),2)*BS41),2)*AT41)/100),2))</f>
        <v>0</v>
      </c>
      <c r="CZ41">
        <f>(ROUND((((S41+ROUND((ROUND(((EU41)*AV41*1),2)*BS41),2))*AU41)/100),2)+ROUND(((ROUND((ROUND(((AE41-(EU41))*AV41*1),2)*BS41),2)*AU41)/100),2))</f>
        <v>0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1009</v>
      </c>
      <c r="DV41" t="s">
        <v>39</v>
      </c>
      <c r="DW41" t="s">
        <v>39</v>
      </c>
      <c r="DX41">
        <v>1000</v>
      </c>
      <c r="DZ41" t="s">
        <v>3</v>
      </c>
      <c r="EA41" t="s">
        <v>3</v>
      </c>
      <c r="EB41" t="s">
        <v>3</v>
      </c>
      <c r="EC41" t="s">
        <v>3</v>
      </c>
      <c r="EE41">
        <v>76282301</v>
      </c>
      <c r="EF41">
        <v>40</v>
      </c>
      <c r="EG41" t="s">
        <v>20</v>
      </c>
      <c r="EH41">
        <v>0</v>
      </c>
      <c r="EI41" t="s">
        <v>3</v>
      </c>
      <c r="EJ41">
        <v>2</v>
      </c>
      <c r="EK41">
        <v>67</v>
      </c>
      <c r="EL41" t="s">
        <v>21</v>
      </c>
      <c r="EM41" t="s">
        <v>22</v>
      </c>
      <c r="EO41" t="s">
        <v>62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FQ41">
        <v>0</v>
      </c>
      <c r="FR41">
        <v>0</v>
      </c>
      <c r="FS41">
        <v>0</v>
      </c>
      <c r="FX41">
        <v>97</v>
      </c>
      <c r="FY41">
        <v>51</v>
      </c>
      <c r="GA41" t="s">
        <v>3</v>
      </c>
      <c r="GD41">
        <v>1</v>
      </c>
      <c r="GF41">
        <v>-21282126</v>
      </c>
      <c r="GG41">
        <v>2</v>
      </c>
      <c r="GH41">
        <v>0</v>
      </c>
      <c r="GI41">
        <v>-2</v>
      </c>
      <c r="GJ41">
        <v>0</v>
      </c>
      <c r="GK41">
        <v>0</v>
      </c>
      <c r="GL41">
        <f t="shared" si="38"/>
        <v>0</v>
      </c>
      <c r="GM41">
        <f t="shared" si="39"/>
        <v>0</v>
      </c>
      <c r="GN41">
        <f t="shared" si="40"/>
        <v>0</v>
      </c>
      <c r="GO41">
        <f t="shared" si="41"/>
        <v>0</v>
      </c>
      <c r="GP41">
        <f t="shared" si="42"/>
        <v>0</v>
      </c>
      <c r="GR41">
        <v>0</v>
      </c>
      <c r="GS41">
        <v>0</v>
      </c>
      <c r="GT41">
        <v>0</v>
      </c>
      <c r="GU41" t="s">
        <v>3</v>
      </c>
      <c r="GV41">
        <f t="shared" si="43"/>
        <v>0</v>
      </c>
      <c r="GW41">
        <v>1</v>
      </c>
      <c r="GX41">
        <f t="shared" si="44"/>
        <v>0</v>
      </c>
      <c r="HA41">
        <v>0</v>
      </c>
      <c r="HB41">
        <v>0</v>
      </c>
      <c r="HC41">
        <f t="shared" si="45"/>
        <v>0</v>
      </c>
      <c r="HE41" t="s">
        <v>3</v>
      </c>
      <c r="HF41" t="s">
        <v>3</v>
      </c>
      <c r="HM41" t="s">
        <v>60</v>
      </c>
      <c r="HN41" t="s">
        <v>3</v>
      </c>
      <c r="HO41" t="s">
        <v>3</v>
      </c>
      <c r="HP41" t="s">
        <v>3</v>
      </c>
      <c r="HQ41" t="s">
        <v>3</v>
      </c>
      <c r="HS41">
        <v>0</v>
      </c>
      <c r="IK41">
        <v>0</v>
      </c>
    </row>
    <row r="42" spans="1:245">
      <c r="A42">
        <v>17</v>
      </c>
      <c r="B42">
        <v>1</v>
      </c>
      <c r="E42" t="s">
        <v>73</v>
      </c>
      <c r="F42" t="s">
        <v>74</v>
      </c>
      <c r="G42" t="s">
        <v>75</v>
      </c>
      <c r="H42" t="s">
        <v>16</v>
      </c>
      <c r="I42">
        <v>1</v>
      </c>
      <c r="J42">
        <v>0</v>
      </c>
      <c r="K42">
        <v>1</v>
      </c>
      <c r="O42">
        <f t="shared" si="21"/>
        <v>2173.89</v>
      </c>
      <c r="P42">
        <f t="shared" si="50"/>
        <v>154.47</v>
      </c>
      <c r="Q42">
        <f>(ROUND((ROUND((((ET42*1.2))*AV42*I42),2)*BB42),2)+ROUND((ROUND(((AE42-((EU42*1.2)))*AV42*I42),2)*BS42),2))</f>
        <v>29.01</v>
      </c>
      <c r="R42">
        <f>(ROUND((ROUND((((EU42*1.2))*AV42*I42),2)*BS42),2)+ROUND((ROUND(((AE42-((EU42*1.2)))*AV42*I42),2)*BS42),2))</f>
        <v>9.24</v>
      </c>
      <c r="S42">
        <f t="shared" si="23"/>
        <v>1990.41</v>
      </c>
      <c r="T42">
        <f t="shared" si="24"/>
        <v>0</v>
      </c>
      <c r="U42">
        <f t="shared" si="25"/>
        <v>2.8319999999999999</v>
      </c>
      <c r="V42">
        <f t="shared" si="26"/>
        <v>0</v>
      </c>
      <c r="W42">
        <f t="shared" si="27"/>
        <v>0</v>
      </c>
      <c r="X42">
        <f>(ROUND((((S42+ROUND((ROUND((((EU42*1.2))*AV42*I42),2)*BS42),2))*AT42)/100),2)+ROUND(((ROUND((ROUND(((AE42-((EU42*1.2)))*AV42*I42),2)*BS42),2)*AT42)/100),2))</f>
        <v>1939.66</v>
      </c>
      <c r="Y42">
        <f>(ROUND((((S42+ROUND((ROUND((((EU42*1.2))*AV42*I42),2)*BS42),2))*AU42)/100),2)+ROUND(((ROUND((ROUND(((AE42-((EU42*1.2)))*AV42*I42),2)*BS42),2)*AU42)/100),2))</f>
        <v>1019.82</v>
      </c>
      <c r="AA42">
        <v>76282491</v>
      </c>
      <c r="AB42">
        <f t="shared" si="28"/>
        <v>59.8</v>
      </c>
      <c r="AC42">
        <f>ROUND(((ES42*1)),6)</f>
        <v>23.44</v>
      </c>
      <c r="AD42">
        <f>ROUND(((((ET42*1.2))-((EU42*1.2)))+AE42),6)</f>
        <v>1.8959999999999999</v>
      </c>
      <c r="AE42">
        <f>ROUND(((EU42*1.2)),6)</f>
        <v>0.156</v>
      </c>
      <c r="AF42">
        <f>ROUND(((EV42*1.2)),6)</f>
        <v>34.463999999999999</v>
      </c>
      <c r="AG42">
        <f t="shared" si="29"/>
        <v>0</v>
      </c>
      <c r="AH42">
        <f>((EW42*1.2))</f>
        <v>2.8319999999999999</v>
      </c>
      <c r="AI42">
        <f>((EX42*1.2))</f>
        <v>0</v>
      </c>
      <c r="AJ42">
        <f t="shared" si="30"/>
        <v>0</v>
      </c>
      <c r="AK42">
        <v>53.74</v>
      </c>
      <c r="AL42">
        <v>23.44</v>
      </c>
      <c r="AM42">
        <v>1.58</v>
      </c>
      <c r="AN42">
        <v>0.13</v>
      </c>
      <c r="AO42">
        <v>28.72</v>
      </c>
      <c r="AP42">
        <v>0</v>
      </c>
      <c r="AQ42">
        <v>2.36</v>
      </c>
      <c r="AR42">
        <v>0</v>
      </c>
      <c r="AS42">
        <v>0</v>
      </c>
      <c r="AT42">
        <v>97</v>
      </c>
      <c r="AU42">
        <v>51</v>
      </c>
      <c r="AV42">
        <v>1</v>
      </c>
      <c r="AW42">
        <v>1</v>
      </c>
      <c r="AZ42">
        <v>1</v>
      </c>
      <c r="BA42">
        <v>57.76</v>
      </c>
      <c r="BB42">
        <v>15.27</v>
      </c>
      <c r="BC42">
        <v>6.59</v>
      </c>
      <c r="BD42" t="s">
        <v>3</v>
      </c>
      <c r="BE42" t="s">
        <v>3</v>
      </c>
      <c r="BF42" t="s">
        <v>3</v>
      </c>
      <c r="BG42" t="s">
        <v>3</v>
      </c>
      <c r="BH42">
        <v>0</v>
      </c>
      <c r="BI42">
        <v>2</v>
      </c>
      <c r="BJ42" t="s">
        <v>76</v>
      </c>
      <c r="BM42">
        <v>67</v>
      </c>
      <c r="BN42">
        <v>0</v>
      </c>
      <c r="BO42" t="s">
        <v>74</v>
      </c>
      <c r="BP42">
        <v>1</v>
      </c>
      <c r="BQ42">
        <v>40</v>
      </c>
      <c r="BR42">
        <v>0</v>
      </c>
      <c r="BS42">
        <v>57.76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97</v>
      </c>
      <c r="CA42">
        <v>51</v>
      </c>
      <c r="CB42" t="s">
        <v>3</v>
      </c>
      <c r="CE42">
        <v>1566</v>
      </c>
      <c r="CF42">
        <v>0</v>
      </c>
      <c r="CG42">
        <v>0</v>
      </c>
      <c r="CM42">
        <v>0</v>
      </c>
      <c r="CN42" t="s">
        <v>454</v>
      </c>
      <c r="CO42">
        <v>0</v>
      </c>
      <c r="CP42">
        <f t="shared" si="31"/>
        <v>2173.89</v>
      </c>
      <c r="CQ42">
        <f t="shared" si="51"/>
        <v>154.47</v>
      </c>
      <c r="CR42">
        <f>(ROUND((ROUND((((ET42*1.2))*AV42*1),2)*BB42),2)+ROUND((ROUND(((AE42-((EU42*1.2)))*AV42*1),2)*BS42),2))</f>
        <v>29.01</v>
      </c>
      <c r="CS42">
        <f>(ROUND((ROUND((((EU42*1.2))*AV42*1),2)*BS42),2)+ROUND((ROUND(((AE42-((EU42*1.2)))*AV42*1),2)*BS42),2))</f>
        <v>9.24</v>
      </c>
      <c r="CT42">
        <f t="shared" si="33"/>
        <v>1990.41</v>
      </c>
      <c r="CU42">
        <f t="shared" si="34"/>
        <v>0</v>
      </c>
      <c r="CV42">
        <f t="shared" si="35"/>
        <v>2.8319999999999999</v>
      </c>
      <c r="CW42">
        <f t="shared" si="36"/>
        <v>0</v>
      </c>
      <c r="CX42">
        <f t="shared" si="37"/>
        <v>0</v>
      </c>
      <c r="CY42">
        <f>(ROUND((((S42+ROUND((ROUND((((EU42*1.2))*AV42*1),2)*BS42),2))*AT42)/100),2)+ROUND(((ROUND((ROUND(((AE42-((EU42*1.2)))*AV42*1),2)*BS42),2)*AT42)/100),2))</f>
        <v>1939.66</v>
      </c>
      <c r="CZ42">
        <f>(ROUND((((S42+ROUND((ROUND((((EU42*1.2))*AV42*1),2)*BS42),2))*AU42)/100),2)+ROUND(((ROUND((ROUND(((AE42-((EU42*1.2)))*AV42*1),2)*BS42),2)*AU42)/100),2))</f>
        <v>1019.82</v>
      </c>
      <c r="DB42">
        <v>4</v>
      </c>
      <c r="DC42" t="s">
        <v>3</v>
      </c>
      <c r="DD42" t="s">
        <v>60</v>
      </c>
      <c r="DE42" t="s">
        <v>61</v>
      </c>
      <c r="DF42" t="s">
        <v>61</v>
      </c>
      <c r="DG42" t="s">
        <v>61</v>
      </c>
      <c r="DH42" t="s">
        <v>3</v>
      </c>
      <c r="DI42" t="s">
        <v>61</v>
      </c>
      <c r="DJ42" t="s">
        <v>61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1013</v>
      </c>
      <c r="DV42" t="s">
        <v>16</v>
      </c>
      <c r="DW42" t="s">
        <v>16</v>
      </c>
      <c r="DX42">
        <v>1</v>
      </c>
      <c r="DZ42" t="s">
        <v>3</v>
      </c>
      <c r="EA42" t="s">
        <v>3</v>
      </c>
      <c r="EB42" t="s">
        <v>3</v>
      </c>
      <c r="EC42" t="s">
        <v>3</v>
      </c>
      <c r="EE42">
        <v>76282301</v>
      </c>
      <c r="EF42">
        <v>40</v>
      </c>
      <c r="EG42" t="s">
        <v>20</v>
      </c>
      <c r="EH42">
        <v>0</v>
      </c>
      <c r="EI42" t="s">
        <v>3</v>
      </c>
      <c r="EJ42">
        <v>2</v>
      </c>
      <c r="EK42">
        <v>67</v>
      </c>
      <c r="EL42" t="s">
        <v>21</v>
      </c>
      <c r="EM42" t="s">
        <v>22</v>
      </c>
      <c r="EO42" t="s">
        <v>62</v>
      </c>
      <c r="EQ42">
        <v>131072</v>
      </c>
      <c r="ER42">
        <v>53.74</v>
      </c>
      <c r="ES42">
        <v>23.44</v>
      </c>
      <c r="ET42">
        <v>1.58</v>
      </c>
      <c r="EU42">
        <v>0.13</v>
      </c>
      <c r="EV42">
        <v>28.72</v>
      </c>
      <c r="EW42">
        <v>2.36</v>
      </c>
      <c r="EX42">
        <v>0</v>
      </c>
      <c r="EY42">
        <v>0</v>
      </c>
      <c r="FQ42">
        <v>0</v>
      </c>
      <c r="FR42">
        <v>0</v>
      </c>
      <c r="FS42">
        <v>0</v>
      </c>
      <c r="FX42">
        <v>97</v>
      </c>
      <c r="FY42">
        <v>51</v>
      </c>
      <c r="GA42" t="s">
        <v>3</v>
      </c>
      <c r="GD42">
        <v>1</v>
      </c>
      <c r="GF42">
        <v>2124296208</v>
      </c>
      <c r="GG42">
        <v>2</v>
      </c>
      <c r="GH42">
        <v>0</v>
      </c>
      <c r="GI42">
        <v>2</v>
      </c>
      <c r="GJ42">
        <v>0</v>
      </c>
      <c r="GK42">
        <v>0</v>
      </c>
      <c r="GL42">
        <f t="shared" si="38"/>
        <v>0</v>
      </c>
      <c r="GM42">
        <f t="shared" si="39"/>
        <v>5133.37</v>
      </c>
      <c r="GN42">
        <f t="shared" si="40"/>
        <v>0</v>
      </c>
      <c r="GO42">
        <f t="shared" si="41"/>
        <v>5133.37</v>
      </c>
      <c r="GP42">
        <f t="shared" si="42"/>
        <v>0</v>
      </c>
      <c r="GR42">
        <v>0</v>
      </c>
      <c r="GS42">
        <v>7</v>
      </c>
      <c r="GT42">
        <v>0</v>
      </c>
      <c r="GU42" t="s">
        <v>3</v>
      </c>
      <c r="GV42">
        <f t="shared" si="43"/>
        <v>0</v>
      </c>
      <c r="GW42">
        <v>1</v>
      </c>
      <c r="GX42">
        <f t="shared" si="44"/>
        <v>0</v>
      </c>
      <c r="HA42">
        <v>0</v>
      </c>
      <c r="HB42">
        <v>0</v>
      </c>
      <c r="HC42">
        <f t="shared" si="45"/>
        <v>0</v>
      </c>
      <c r="HE42" t="s">
        <v>3</v>
      </c>
      <c r="HF42" t="s">
        <v>3</v>
      </c>
      <c r="HM42" t="s">
        <v>3</v>
      </c>
      <c r="HN42" t="s">
        <v>3</v>
      </c>
      <c r="HO42" t="s">
        <v>3</v>
      </c>
      <c r="HP42" t="s">
        <v>3</v>
      </c>
      <c r="HQ42" t="s">
        <v>3</v>
      </c>
      <c r="HS42">
        <v>0</v>
      </c>
      <c r="IK42">
        <v>0</v>
      </c>
    </row>
    <row r="43" spans="1:245">
      <c r="A43">
        <v>18</v>
      </c>
      <c r="B43">
        <v>1</v>
      </c>
      <c r="E43" t="s">
        <v>77</v>
      </c>
      <c r="F43" t="s">
        <v>64</v>
      </c>
      <c r="G43" t="s">
        <v>65</v>
      </c>
      <c r="H43" t="s">
        <v>39</v>
      </c>
      <c r="I43">
        <f>I42*J43</f>
        <v>3.7300000000000001E-4</v>
      </c>
      <c r="J43">
        <v>3.7300000000000001E-4</v>
      </c>
      <c r="K43">
        <v>3.7300000000000001E-4</v>
      </c>
      <c r="O43">
        <f t="shared" si="21"/>
        <v>32.04</v>
      </c>
      <c r="P43">
        <f t="shared" si="50"/>
        <v>32.04</v>
      </c>
      <c r="Q43">
        <f>(ROUND((ROUND(((ET43)*AV43*I43),2)*BB43),2)+ROUND((ROUND(((AE43-(EU43))*AV43*I43),2)*BS43),2))</f>
        <v>0</v>
      </c>
      <c r="R43">
        <f>(ROUND((ROUND(((EU43)*AV43*I43),2)*BS43),2)+ROUND((ROUND(((AE43-(EU43))*AV43*I43),2)*BS43),2))</f>
        <v>0</v>
      </c>
      <c r="S43">
        <f t="shared" si="23"/>
        <v>0</v>
      </c>
      <c r="T43">
        <f t="shared" si="24"/>
        <v>0</v>
      </c>
      <c r="U43">
        <f t="shared" si="25"/>
        <v>0</v>
      </c>
      <c r="V43">
        <f t="shared" si="26"/>
        <v>0</v>
      </c>
      <c r="W43">
        <f t="shared" si="27"/>
        <v>0</v>
      </c>
      <c r="X43">
        <f>(ROUND((((S43+ROUND((ROUND(((EU43)*AV43*I43),2)*BS43),2))*AT43)/100),2)+ROUND(((ROUND((ROUND(((AE43-(EU43))*AV43*I43),2)*BS43),2)*AT43)/100),2))</f>
        <v>0</v>
      </c>
      <c r="Y43">
        <f>(ROUND((((S43+ROUND((ROUND(((EU43)*AV43*I43),2)*BS43),2))*AU43)/100),2)+ROUND(((ROUND((ROUND(((AE43-(EU43))*AV43*I43),2)*BS43),2)*AU43)/100),2))</f>
        <v>0</v>
      </c>
      <c r="AA43">
        <v>76282491</v>
      </c>
      <c r="AB43">
        <f t="shared" si="28"/>
        <v>24609.759999999998</v>
      </c>
      <c r="AC43">
        <f>ROUND((ES43),6)</f>
        <v>24609.759999999998</v>
      </c>
      <c r="AD43">
        <f>ROUND((((ET43)-(EU43))+AE43),6)</f>
        <v>0</v>
      </c>
      <c r="AE43">
        <f t="shared" ref="AE43:AF47" si="54">ROUND((EU43),6)</f>
        <v>0</v>
      </c>
      <c r="AF43">
        <f t="shared" si="54"/>
        <v>0</v>
      </c>
      <c r="AG43">
        <f t="shared" si="29"/>
        <v>0</v>
      </c>
      <c r="AH43">
        <f t="shared" ref="AH43:AI47" si="55">(EW43)</f>
        <v>0</v>
      </c>
      <c r="AI43">
        <f t="shared" si="55"/>
        <v>0</v>
      </c>
      <c r="AJ43">
        <f t="shared" si="30"/>
        <v>0</v>
      </c>
      <c r="AK43">
        <v>24609.759999999998</v>
      </c>
      <c r="AL43">
        <v>24609.759999999998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97</v>
      </c>
      <c r="AU43">
        <v>51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3.49</v>
      </c>
      <c r="BD43" t="s">
        <v>3</v>
      </c>
      <c r="BE43" t="s">
        <v>3</v>
      </c>
      <c r="BF43" t="s">
        <v>3</v>
      </c>
      <c r="BG43" t="s">
        <v>3</v>
      </c>
      <c r="BH43">
        <v>3</v>
      </c>
      <c r="BI43">
        <v>2</v>
      </c>
      <c r="BJ43" t="s">
        <v>66</v>
      </c>
      <c r="BM43">
        <v>67</v>
      </c>
      <c r="BN43">
        <v>0</v>
      </c>
      <c r="BO43" t="s">
        <v>64</v>
      </c>
      <c r="BP43">
        <v>1</v>
      </c>
      <c r="BQ43">
        <v>40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97</v>
      </c>
      <c r="CA43">
        <v>51</v>
      </c>
      <c r="CB43" t="s">
        <v>3</v>
      </c>
      <c r="CE43">
        <v>1566</v>
      </c>
      <c r="CF43">
        <v>0</v>
      </c>
      <c r="CG43">
        <v>0</v>
      </c>
      <c r="CM43">
        <v>0</v>
      </c>
      <c r="CN43" t="s">
        <v>454</v>
      </c>
      <c r="CO43">
        <v>0</v>
      </c>
      <c r="CP43">
        <f t="shared" si="31"/>
        <v>32.04</v>
      </c>
      <c r="CQ43">
        <f t="shared" si="51"/>
        <v>85888.06</v>
      </c>
      <c r="CR43">
        <f>(ROUND((ROUND(((ET43)*AV43*1),2)*BB43),2)+ROUND((ROUND(((AE43-(EU43))*AV43*1),2)*BS43),2))</f>
        <v>0</v>
      </c>
      <c r="CS43">
        <f>(ROUND((ROUND(((EU43)*AV43*1),2)*BS43),2)+ROUND((ROUND(((AE43-(EU43))*AV43*1),2)*BS43),2))</f>
        <v>0</v>
      </c>
      <c r="CT43">
        <f t="shared" si="33"/>
        <v>0</v>
      </c>
      <c r="CU43">
        <f t="shared" si="34"/>
        <v>0</v>
      </c>
      <c r="CV43">
        <f t="shared" si="35"/>
        <v>0</v>
      </c>
      <c r="CW43">
        <f t="shared" si="36"/>
        <v>0</v>
      </c>
      <c r="CX43">
        <f t="shared" si="37"/>
        <v>0</v>
      </c>
      <c r="CY43">
        <f>(ROUND((((S43+ROUND((ROUND(((EU43)*AV43*1),2)*BS43),2))*AT43)/100),2)+ROUND(((ROUND((ROUND(((AE43-(EU43))*AV43*1),2)*BS43),2)*AT43)/100),2))</f>
        <v>0</v>
      </c>
      <c r="CZ43">
        <f>(ROUND((((S43+ROUND((ROUND(((EU43)*AV43*1),2)*BS43),2))*AU43)/100),2)+ROUND(((ROUND((ROUND(((AE43-(EU43))*AV43*1),2)*BS43),2)*AU43)/100),2))</f>
        <v>0</v>
      </c>
      <c r="DC43" t="s">
        <v>3</v>
      </c>
      <c r="DD43" t="s">
        <v>3</v>
      </c>
      <c r="DE43" t="s">
        <v>3</v>
      </c>
      <c r="DF43" t="s">
        <v>3</v>
      </c>
      <c r="DG43" t="s">
        <v>3</v>
      </c>
      <c r="DH43" t="s">
        <v>3</v>
      </c>
      <c r="DI43" t="s">
        <v>3</v>
      </c>
      <c r="DJ43" t="s">
        <v>3</v>
      </c>
      <c r="DK43" t="s">
        <v>3</v>
      </c>
      <c r="DL43" t="s">
        <v>3</v>
      </c>
      <c r="DM43" t="s">
        <v>3</v>
      </c>
      <c r="DN43">
        <v>0</v>
      </c>
      <c r="DO43">
        <v>0</v>
      </c>
      <c r="DP43">
        <v>1</v>
      </c>
      <c r="DQ43">
        <v>1</v>
      </c>
      <c r="DU43">
        <v>1009</v>
      </c>
      <c r="DV43" t="s">
        <v>39</v>
      </c>
      <c r="DW43" t="s">
        <v>39</v>
      </c>
      <c r="DX43">
        <v>1000</v>
      </c>
      <c r="DZ43" t="s">
        <v>3</v>
      </c>
      <c r="EA43" t="s">
        <v>3</v>
      </c>
      <c r="EB43" t="s">
        <v>3</v>
      </c>
      <c r="EC43" t="s">
        <v>3</v>
      </c>
      <c r="EE43">
        <v>76282301</v>
      </c>
      <c r="EF43">
        <v>40</v>
      </c>
      <c r="EG43" t="s">
        <v>20</v>
      </c>
      <c r="EH43">
        <v>0</v>
      </c>
      <c r="EI43" t="s">
        <v>3</v>
      </c>
      <c r="EJ43">
        <v>2</v>
      </c>
      <c r="EK43">
        <v>67</v>
      </c>
      <c r="EL43" t="s">
        <v>21</v>
      </c>
      <c r="EM43" t="s">
        <v>22</v>
      </c>
      <c r="EO43" t="s">
        <v>62</v>
      </c>
      <c r="EQ43">
        <v>0</v>
      </c>
      <c r="ER43">
        <v>24609.759999999998</v>
      </c>
      <c r="ES43">
        <v>24609.759999999998</v>
      </c>
      <c r="ET43">
        <v>0</v>
      </c>
      <c r="EU43">
        <v>0</v>
      </c>
      <c r="EV43">
        <v>0</v>
      </c>
      <c r="EW43">
        <v>0</v>
      </c>
      <c r="EX43">
        <v>0</v>
      </c>
      <c r="FQ43">
        <v>0</v>
      </c>
      <c r="FR43">
        <v>0</v>
      </c>
      <c r="FS43">
        <v>0</v>
      </c>
      <c r="FX43">
        <v>97</v>
      </c>
      <c r="FY43">
        <v>51</v>
      </c>
      <c r="GA43" t="s">
        <v>3</v>
      </c>
      <c r="GD43">
        <v>1</v>
      </c>
      <c r="GF43">
        <v>-566361729</v>
      </c>
      <c r="GG43">
        <v>2</v>
      </c>
      <c r="GH43">
        <v>0</v>
      </c>
      <c r="GI43">
        <v>2</v>
      </c>
      <c r="GJ43">
        <v>0</v>
      </c>
      <c r="GK43">
        <v>0</v>
      </c>
      <c r="GL43">
        <f t="shared" si="38"/>
        <v>0</v>
      </c>
      <c r="GM43">
        <f t="shared" si="39"/>
        <v>32.04</v>
      </c>
      <c r="GN43">
        <f t="shared" si="40"/>
        <v>0</v>
      </c>
      <c r="GO43">
        <f t="shared" si="41"/>
        <v>32.04</v>
      </c>
      <c r="GP43">
        <f t="shared" si="42"/>
        <v>0</v>
      </c>
      <c r="GR43">
        <v>0</v>
      </c>
      <c r="GS43">
        <v>0</v>
      </c>
      <c r="GT43">
        <v>0</v>
      </c>
      <c r="GU43" t="s">
        <v>3</v>
      </c>
      <c r="GV43">
        <f t="shared" si="43"/>
        <v>0</v>
      </c>
      <c r="GW43">
        <v>1</v>
      </c>
      <c r="GX43">
        <f t="shared" si="44"/>
        <v>0</v>
      </c>
      <c r="HA43">
        <v>0</v>
      </c>
      <c r="HB43">
        <v>0</v>
      </c>
      <c r="HC43">
        <f t="shared" si="45"/>
        <v>0</v>
      </c>
      <c r="HE43" t="s">
        <v>3</v>
      </c>
      <c r="HF43" t="s">
        <v>3</v>
      </c>
      <c r="HM43" t="s">
        <v>60</v>
      </c>
      <c r="HN43" t="s">
        <v>3</v>
      </c>
      <c r="HO43" t="s">
        <v>3</v>
      </c>
      <c r="HP43" t="s">
        <v>3</v>
      </c>
      <c r="HQ43" t="s">
        <v>3</v>
      </c>
      <c r="HS43">
        <v>0</v>
      </c>
      <c r="IK43">
        <v>0</v>
      </c>
    </row>
    <row r="44" spans="1:245">
      <c r="A44">
        <v>18</v>
      </c>
      <c r="B44">
        <v>1</v>
      </c>
      <c r="E44" t="s">
        <v>78</v>
      </c>
      <c r="F44" t="s">
        <v>79</v>
      </c>
      <c r="G44" t="s">
        <v>80</v>
      </c>
      <c r="H44" t="s">
        <v>32</v>
      </c>
      <c r="I44">
        <f>I42*J44</f>
        <v>1</v>
      </c>
      <c r="J44">
        <v>1</v>
      </c>
      <c r="K44">
        <v>1</v>
      </c>
      <c r="O44">
        <f t="shared" si="21"/>
        <v>0</v>
      </c>
      <c r="P44">
        <f t="shared" si="50"/>
        <v>0</v>
      </c>
      <c r="Q44">
        <f>(ROUND((ROUND(((ET44)*AV44*I44),2)*BB44),2)+ROUND((ROUND(((AE44-(EU44))*AV44*I44),2)*BS44),2))</f>
        <v>0</v>
      </c>
      <c r="R44">
        <f>(ROUND((ROUND(((EU44)*AV44*I44),2)*BS44),2)+ROUND((ROUND(((AE44-(EU44))*AV44*I44),2)*BS44),2))</f>
        <v>0</v>
      </c>
      <c r="S44">
        <f t="shared" si="23"/>
        <v>0</v>
      </c>
      <c r="T44">
        <f t="shared" si="24"/>
        <v>0</v>
      </c>
      <c r="U44">
        <f t="shared" si="25"/>
        <v>0</v>
      </c>
      <c r="V44">
        <f t="shared" si="26"/>
        <v>0</v>
      </c>
      <c r="W44">
        <f t="shared" si="27"/>
        <v>0</v>
      </c>
      <c r="X44">
        <f>(ROUND((((S44+ROUND((ROUND(((EU44)*AV44*I44),2)*BS44),2))*AT44)/100),2)+ROUND(((ROUND((ROUND(((AE44-(EU44))*AV44*I44),2)*BS44),2)*AT44)/100),2))</f>
        <v>0</v>
      </c>
      <c r="Y44">
        <f>(ROUND((((S44+ROUND((ROUND(((EU44)*AV44*I44),2)*BS44),2))*AU44)/100),2)+ROUND(((ROUND((ROUND(((AE44-(EU44))*AV44*I44),2)*BS44),2)*AU44)/100),2))</f>
        <v>0</v>
      </c>
      <c r="AA44">
        <v>76282491</v>
      </c>
      <c r="AB44">
        <f t="shared" si="28"/>
        <v>0</v>
      </c>
      <c r="AC44">
        <f>ROUND((ES44),6)</f>
        <v>0</v>
      </c>
      <c r="AD44">
        <f>ROUND((((ET44)-(EU44))+AE44),6)</f>
        <v>0</v>
      </c>
      <c r="AE44">
        <f t="shared" si="54"/>
        <v>0</v>
      </c>
      <c r="AF44">
        <f t="shared" si="54"/>
        <v>0</v>
      </c>
      <c r="AG44">
        <f t="shared" si="29"/>
        <v>0</v>
      </c>
      <c r="AH44">
        <f t="shared" si="55"/>
        <v>0</v>
      </c>
      <c r="AI44">
        <f t="shared" si="55"/>
        <v>0</v>
      </c>
      <c r="AJ44">
        <f t="shared" si="30"/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97</v>
      </c>
      <c r="AU44">
        <v>51</v>
      </c>
      <c r="AV44">
        <v>1</v>
      </c>
      <c r="AW44">
        <v>1</v>
      </c>
      <c r="AZ44">
        <v>1</v>
      </c>
      <c r="BA44">
        <v>1</v>
      </c>
      <c r="BB44">
        <v>1</v>
      </c>
      <c r="BC44">
        <v>1</v>
      </c>
      <c r="BD44" t="s">
        <v>3</v>
      </c>
      <c r="BE44" t="s">
        <v>3</v>
      </c>
      <c r="BF44" t="s">
        <v>3</v>
      </c>
      <c r="BG44" t="s">
        <v>3</v>
      </c>
      <c r="BH44">
        <v>3</v>
      </c>
      <c r="BI44">
        <v>2</v>
      </c>
      <c r="BJ44" t="s">
        <v>3</v>
      </c>
      <c r="BM44">
        <v>67</v>
      </c>
      <c r="BN44">
        <v>0</v>
      </c>
      <c r="BO44" t="s">
        <v>3</v>
      </c>
      <c r="BP44">
        <v>0</v>
      </c>
      <c r="BQ44">
        <v>40</v>
      </c>
      <c r="BR44">
        <v>0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 t="s">
        <v>3</v>
      </c>
      <c r="BZ44">
        <v>97</v>
      </c>
      <c r="CA44">
        <v>51</v>
      </c>
      <c r="CB44" t="s">
        <v>3</v>
      </c>
      <c r="CE44">
        <v>1566</v>
      </c>
      <c r="CF44">
        <v>0</v>
      </c>
      <c r="CG44">
        <v>0</v>
      </c>
      <c r="CM44">
        <v>0</v>
      </c>
      <c r="CN44" t="s">
        <v>454</v>
      </c>
      <c r="CO44">
        <v>0</v>
      </c>
      <c r="CP44">
        <f t="shared" si="31"/>
        <v>0</v>
      </c>
      <c r="CQ44">
        <f t="shared" si="51"/>
        <v>0</v>
      </c>
      <c r="CR44">
        <f>(ROUND((ROUND(((ET44)*AV44*1),2)*BB44),2)+ROUND((ROUND(((AE44-(EU44))*AV44*1),2)*BS44),2))</f>
        <v>0</v>
      </c>
      <c r="CS44">
        <f>(ROUND((ROUND(((EU44)*AV44*1),2)*BS44),2)+ROUND((ROUND(((AE44-(EU44))*AV44*1),2)*BS44),2))</f>
        <v>0</v>
      </c>
      <c r="CT44">
        <f t="shared" si="33"/>
        <v>0</v>
      </c>
      <c r="CU44">
        <f t="shared" si="34"/>
        <v>0</v>
      </c>
      <c r="CV44">
        <f t="shared" si="35"/>
        <v>0</v>
      </c>
      <c r="CW44">
        <f t="shared" si="36"/>
        <v>0</v>
      </c>
      <c r="CX44">
        <f t="shared" si="37"/>
        <v>0</v>
      </c>
      <c r="CY44">
        <f>(ROUND((((S44+ROUND((ROUND(((EU44)*AV44*1),2)*BS44),2))*AT44)/100),2)+ROUND(((ROUND((ROUND(((AE44-(EU44))*AV44*1),2)*BS44),2)*AT44)/100),2))</f>
        <v>0</v>
      </c>
      <c r="CZ44">
        <f>(ROUND((((S44+ROUND((ROUND(((EU44)*AV44*1),2)*BS44),2))*AU44)/100),2)+ROUND(((ROUND((ROUND(((AE44-(EU44))*AV44*1),2)*BS44),2)*AU44)/100),2))</f>
        <v>0</v>
      </c>
      <c r="DC44" t="s">
        <v>3</v>
      </c>
      <c r="DD44" t="s">
        <v>3</v>
      </c>
      <c r="DE44" t="s">
        <v>3</v>
      </c>
      <c r="DF44" t="s">
        <v>3</v>
      </c>
      <c r="DG44" t="s">
        <v>3</v>
      </c>
      <c r="DH44" t="s">
        <v>3</v>
      </c>
      <c r="DI44" t="s">
        <v>3</v>
      </c>
      <c r="DJ44" t="s">
        <v>3</v>
      </c>
      <c r="DK44" t="s">
        <v>3</v>
      </c>
      <c r="DL44" t="s">
        <v>3</v>
      </c>
      <c r="DM44" t="s">
        <v>3</v>
      </c>
      <c r="DN44">
        <v>0</v>
      </c>
      <c r="DO44">
        <v>0</v>
      </c>
      <c r="DP44">
        <v>1</v>
      </c>
      <c r="DQ44">
        <v>1</v>
      </c>
      <c r="DU44">
        <v>1010</v>
      </c>
      <c r="DV44" t="s">
        <v>32</v>
      </c>
      <c r="DW44" t="s">
        <v>32</v>
      </c>
      <c r="DX44">
        <v>1</v>
      </c>
      <c r="DZ44" t="s">
        <v>3</v>
      </c>
      <c r="EA44" t="s">
        <v>3</v>
      </c>
      <c r="EB44" t="s">
        <v>3</v>
      </c>
      <c r="EC44" t="s">
        <v>3</v>
      </c>
      <c r="EE44">
        <v>76282301</v>
      </c>
      <c r="EF44">
        <v>40</v>
      </c>
      <c r="EG44" t="s">
        <v>20</v>
      </c>
      <c r="EH44">
        <v>0</v>
      </c>
      <c r="EI44" t="s">
        <v>3</v>
      </c>
      <c r="EJ44">
        <v>2</v>
      </c>
      <c r="EK44">
        <v>67</v>
      </c>
      <c r="EL44" t="s">
        <v>21</v>
      </c>
      <c r="EM44" t="s">
        <v>22</v>
      </c>
      <c r="EO44" t="s">
        <v>62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FQ44">
        <v>0</v>
      </c>
      <c r="FR44">
        <v>0</v>
      </c>
      <c r="FS44">
        <v>0</v>
      </c>
      <c r="FX44">
        <v>97</v>
      </c>
      <c r="FY44">
        <v>51</v>
      </c>
      <c r="GA44" t="s">
        <v>3</v>
      </c>
      <c r="GD44">
        <v>1</v>
      </c>
      <c r="GF44">
        <v>33194463</v>
      </c>
      <c r="GG44">
        <v>2</v>
      </c>
      <c r="GH44">
        <v>0</v>
      </c>
      <c r="GI44">
        <v>-2</v>
      </c>
      <c r="GJ44">
        <v>0</v>
      </c>
      <c r="GK44">
        <v>0</v>
      </c>
      <c r="GL44">
        <f t="shared" si="38"/>
        <v>0</v>
      </c>
      <c r="GM44">
        <f t="shared" si="39"/>
        <v>0</v>
      </c>
      <c r="GN44">
        <f t="shared" si="40"/>
        <v>0</v>
      </c>
      <c r="GO44">
        <f t="shared" si="41"/>
        <v>0</v>
      </c>
      <c r="GP44">
        <f t="shared" si="42"/>
        <v>0</v>
      </c>
      <c r="GR44">
        <v>0</v>
      </c>
      <c r="GS44">
        <v>0</v>
      </c>
      <c r="GT44">
        <v>0</v>
      </c>
      <c r="GU44" t="s">
        <v>3</v>
      </c>
      <c r="GV44">
        <f t="shared" si="43"/>
        <v>0</v>
      </c>
      <c r="GW44">
        <v>1</v>
      </c>
      <c r="GX44">
        <f t="shared" si="44"/>
        <v>0</v>
      </c>
      <c r="HA44">
        <v>0</v>
      </c>
      <c r="HB44">
        <v>0</v>
      </c>
      <c r="HC44">
        <f t="shared" si="45"/>
        <v>0</v>
      </c>
      <c r="HE44" t="s">
        <v>3</v>
      </c>
      <c r="HF44" t="s">
        <v>3</v>
      </c>
      <c r="HM44" t="s">
        <v>60</v>
      </c>
      <c r="HN44" t="s">
        <v>3</v>
      </c>
      <c r="HO44" t="s">
        <v>3</v>
      </c>
      <c r="HP44" t="s">
        <v>3</v>
      </c>
      <c r="HQ44" t="s">
        <v>3</v>
      </c>
      <c r="HS44">
        <v>0</v>
      </c>
      <c r="IK44">
        <v>0</v>
      </c>
    </row>
    <row r="45" spans="1:245">
      <c r="A45">
        <v>18</v>
      </c>
      <c r="B45">
        <v>1</v>
      </c>
      <c r="E45" t="s">
        <v>81</v>
      </c>
      <c r="F45" t="s">
        <v>82</v>
      </c>
      <c r="G45" t="s">
        <v>83</v>
      </c>
      <c r="H45" t="s">
        <v>84</v>
      </c>
      <c r="I45">
        <f>I42*J45</f>
        <v>6.1000000000000004E-3</v>
      </c>
      <c r="J45">
        <v>6.1000000000000004E-3</v>
      </c>
      <c r="K45">
        <v>6.1000000000000004E-3</v>
      </c>
      <c r="O45">
        <f t="shared" si="21"/>
        <v>0</v>
      </c>
      <c r="P45">
        <f t="shared" si="50"/>
        <v>0</v>
      </c>
      <c r="Q45">
        <f>(ROUND((ROUND(((ET45)*AV45*I45),2)*BB45),2)+ROUND((ROUND(((AE45-(EU45))*AV45*I45),2)*BS45),2))</f>
        <v>0</v>
      </c>
      <c r="R45">
        <f>(ROUND((ROUND(((EU45)*AV45*I45),2)*BS45),2)+ROUND((ROUND(((AE45-(EU45))*AV45*I45),2)*BS45),2))</f>
        <v>0</v>
      </c>
      <c r="S45">
        <f t="shared" si="23"/>
        <v>0</v>
      </c>
      <c r="T45">
        <f t="shared" si="24"/>
        <v>0</v>
      </c>
      <c r="U45">
        <f t="shared" si="25"/>
        <v>0</v>
      </c>
      <c r="V45">
        <f t="shared" si="26"/>
        <v>0</v>
      </c>
      <c r="W45">
        <f t="shared" si="27"/>
        <v>0</v>
      </c>
      <c r="X45">
        <f>(ROUND((((S45+ROUND((ROUND(((EU45)*AV45*I45),2)*BS45),2))*AT45)/100),2)+ROUND(((ROUND((ROUND(((AE45-(EU45))*AV45*I45),2)*BS45),2)*AT45)/100),2))</f>
        <v>0</v>
      </c>
      <c r="Y45">
        <f>(ROUND((((S45+ROUND((ROUND(((EU45)*AV45*I45),2)*BS45),2))*AU45)/100),2)+ROUND(((ROUND((ROUND(((AE45-(EU45))*AV45*I45),2)*BS45),2)*AU45)/100),2))</f>
        <v>0</v>
      </c>
      <c r="AA45">
        <v>76282491</v>
      </c>
      <c r="AB45">
        <f t="shared" si="28"/>
        <v>0</v>
      </c>
      <c r="AC45">
        <f>ROUND((ES45),6)</f>
        <v>0</v>
      </c>
      <c r="AD45">
        <f>ROUND((((ET45)-(EU45))+AE45),6)</f>
        <v>0</v>
      </c>
      <c r="AE45">
        <f t="shared" si="54"/>
        <v>0</v>
      </c>
      <c r="AF45">
        <f t="shared" si="54"/>
        <v>0</v>
      </c>
      <c r="AG45">
        <f t="shared" si="29"/>
        <v>0</v>
      </c>
      <c r="AH45">
        <f t="shared" si="55"/>
        <v>0</v>
      </c>
      <c r="AI45">
        <f t="shared" si="55"/>
        <v>0</v>
      </c>
      <c r="AJ45">
        <f t="shared" si="30"/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97</v>
      </c>
      <c r="AU45">
        <v>51</v>
      </c>
      <c r="AV45">
        <v>1</v>
      </c>
      <c r="AW45">
        <v>1</v>
      </c>
      <c r="AZ45">
        <v>1</v>
      </c>
      <c r="BA45">
        <v>1</v>
      </c>
      <c r="BB45">
        <v>1</v>
      </c>
      <c r="BC45">
        <v>1</v>
      </c>
      <c r="BD45" t="s">
        <v>3</v>
      </c>
      <c r="BE45" t="s">
        <v>3</v>
      </c>
      <c r="BF45" t="s">
        <v>3</v>
      </c>
      <c r="BG45" t="s">
        <v>3</v>
      </c>
      <c r="BH45">
        <v>3</v>
      </c>
      <c r="BI45">
        <v>2</v>
      </c>
      <c r="BJ45" t="s">
        <v>3</v>
      </c>
      <c r="BM45">
        <v>67</v>
      </c>
      <c r="BN45">
        <v>0</v>
      </c>
      <c r="BO45" t="s">
        <v>3</v>
      </c>
      <c r="BP45">
        <v>0</v>
      </c>
      <c r="BQ45">
        <v>40</v>
      </c>
      <c r="BR45">
        <v>0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 t="s">
        <v>3</v>
      </c>
      <c r="BZ45">
        <v>97</v>
      </c>
      <c r="CA45">
        <v>51</v>
      </c>
      <c r="CB45" t="s">
        <v>3</v>
      </c>
      <c r="CE45">
        <v>1566</v>
      </c>
      <c r="CF45">
        <v>0</v>
      </c>
      <c r="CG45">
        <v>0</v>
      </c>
      <c r="CM45">
        <v>0</v>
      </c>
      <c r="CN45" t="s">
        <v>454</v>
      </c>
      <c r="CO45">
        <v>0</v>
      </c>
      <c r="CP45">
        <f t="shared" si="31"/>
        <v>0</v>
      </c>
      <c r="CQ45">
        <f t="shared" si="51"/>
        <v>0</v>
      </c>
      <c r="CR45">
        <f>(ROUND((ROUND(((ET45)*AV45*1),2)*BB45),2)+ROUND((ROUND(((AE45-(EU45))*AV45*1),2)*BS45),2))</f>
        <v>0</v>
      </c>
      <c r="CS45">
        <f>(ROUND((ROUND(((EU45)*AV45*1),2)*BS45),2)+ROUND((ROUND(((AE45-(EU45))*AV45*1),2)*BS45),2))</f>
        <v>0</v>
      </c>
      <c r="CT45">
        <f t="shared" si="33"/>
        <v>0</v>
      </c>
      <c r="CU45">
        <f t="shared" si="34"/>
        <v>0</v>
      </c>
      <c r="CV45">
        <f t="shared" si="35"/>
        <v>0</v>
      </c>
      <c r="CW45">
        <f t="shared" si="36"/>
        <v>0</v>
      </c>
      <c r="CX45">
        <f t="shared" si="37"/>
        <v>0</v>
      </c>
      <c r="CY45">
        <f>(ROUND((((S45+ROUND((ROUND(((EU45)*AV45*1),2)*BS45),2))*AT45)/100),2)+ROUND(((ROUND((ROUND(((AE45-(EU45))*AV45*1),2)*BS45),2)*AT45)/100),2))</f>
        <v>0</v>
      </c>
      <c r="CZ45">
        <f>(ROUND((((S45+ROUND((ROUND(((EU45)*AV45*1),2)*BS45),2))*AU45)/100),2)+ROUND(((ROUND((ROUND(((AE45-(EU45))*AV45*1),2)*BS45),2)*AU45)/100),2))</f>
        <v>0</v>
      </c>
      <c r="DC45" t="s">
        <v>3</v>
      </c>
      <c r="DD45" t="s">
        <v>3</v>
      </c>
      <c r="DE45" t="s">
        <v>3</v>
      </c>
      <c r="DF45" t="s">
        <v>3</v>
      </c>
      <c r="DG45" t="s">
        <v>3</v>
      </c>
      <c r="DH45" t="s">
        <v>3</v>
      </c>
      <c r="DI45" t="s">
        <v>3</v>
      </c>
      <c r="DJ45" t="s">
        <v>3</v>
      </c>
      <c r="DK45" t="s">
        <v>3</v>
      </c>
      <c r="DL45" t="s">
        <v>3</v>
      </c>
      <c r="DM45" t="s">
        <v>3</v>
      </c>
      <c r="DN45">
        <v>0</v>
      </c>
      <c r="DO45">
        <v>0</v>
      </c>
      <c r="DP45">
        <v>1</v>
      </c>
      <c r="DQ45">
        <v>1</v>
      </c>
      <c r="DU45">
        <v>1010</v>
      </c>
      <c r="DV45" t="s">
        <v>84</v>
      </c>
      <c r="DW45" t="s">
        <v>84</v>
      </c>
      <c r="DX45">
        <v>1000</v>
      </c>
      <c r="DZ45" t="s">
        <v>3</v>
      </c>
      <c r="EA45" t="s">
        <v>3</v>
      </c>
      <c r="EB45" t="s">
        <v>3</v>
      </c>
      <c r="EC45" t="s">
        <v>3</v>
      </c>
      <c r="EE45">
        <v>76282301</v>
      </c>
      <c r="EF45">
        <v>40</v>
      </c>
      <c r="EG45" t="s">
        <v>20</v>
      </c>
      <c r="EH45">
        <v>0</v>
      </c>
      <c r="EI45" t="s">
        <v>3</v>
      </c>
      <c r="EJ45">
        <v>2</v>
      </c>
      <c r="EK45">
        <v>67</v>
      </c>
      <c r="EL45" t="s">
        <v>21</v>
      </c>
      <c r="EM45" t="s">
        <v>22</v>
      </c>
      <c r="EO45" t="s">
        <v>62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FQ45">
        <v>0</v>
      </c>
      <c r="FR45">
        <v>0</v>
      </c>
      <c r="FS45">
        <v>0</v>
      </c>
      <c r="FX45">
        <v>97</v>
      </c>
      <c r="FY45">
        <v>51</v>
      </c>
      <c r="GA45" t="s">
        <v>3</v>
      </c>
      <c r="GD45">
        <v>1</v>
      </c>
      <c r="GF45">
        <v>-22646038</v>
      </c>
      <c r="GG45">
        <v>2</v>
      </c>
      <c r="GH45">
        <v>0</v>
      </c>
      <c r="GI45">
        <v>-2</v>
      </c>
      <c r="GJ45">
        <v>0</v>
      </c>
      <c r="GK45">
        <v>0</v>
      </c>
      <c r="GL45">
        <f t="shared" si="38"/>
        <v>0</v>
      </c>
      <c r="GM45">
        <f t="shared" si="39"/>
        <v>0</v>
      </c>
      <c r="GN45">
        <f t="shared" si="40"/>
        <v>0</v>
      </c>
      <c r="GO45">
        <f t="shared" si="41"/>
        <v>0</v>
      </c>
      <c r="GP45">
        <f t="shared" si="42"/>
        <v>0</v>
      </c>
      <c r="GR45">
        <v>0</v>
      </c>
      <c r="GS45">
        <v>0</v>
      </c>
      <c r="GT45">
        <v>0</v>
      </c>
      <c r="GU45" t="s">
        <v>3</v>
      </c>
      <c r="GV45">
        <f t="shared" si="43"/>
        <v>0</v>
      </c>
      <c r="GW45">
        <v>1</v>
      </c>
      <c r="GX45">
        <f t="shared" si="44"/>
        <v>0</v>
      </c>
      <c r="HA45">
        <v>0</v>
      </c>
      <c r="HB45">
        <v>0</v>
      </c>
      <c r="HC45">
        <f t="shared" si="45"/>
        <v>0</v>
      </c>
      <c r="HE45" t="s">
        <v>3</v>
      </c>
      <c r="HF45" t="s">
        <v>3</v>
      </c>
      <c r="HM45" t="s">
        <v>60</v>
      </c>
      <c r="HN45" t="s">
        <v>3</v>
      </c>
      <c r="HO45" t="s">
        <v>3</v>
      </c>
      <c r="HP45" t="s">
        <v>3</v>
      </c>
      <c r="HQ45" t="s">
        <v>3</v>
      </c>
      <c r="HS45">
        <v>0</v>
      </c>
      <c r="IK45">
        <v>0</v>
      </c>
    </row>
    <row r="46" spans="1:245">
      <c r="A46">
        <v>18</v>
      </c>
      <c r="B46">
        <v>1</v>
      </c>
      <c r="E46" t="s">
        <v>85</v>
      </c>
      <c r="F46" t="s">
        <v>37</v>
      </c>
      <c r="G46" t="s">
        <v>38</v>
      </c>
      <c r="H46" t="s">
        <v>39</v>
      </c>
      <c r="I46">
        <f>I42*J46</f>
        <v>4.0000000000000001E-3</v>
      </c>
      <c r="J46">
        <v>4.0000000000000001E-3</v>
      </c>
      <c r="K46">
        <v>4.0000000000000001E-3</v>
      </c>
      <c r="O46">
        <f t="shared" si="21"/>
        <v>0</v>
      </c>
      <c r="P46">
        <f t="shared" si="50"/>
        <v>0</v>
      </c>
      <c r="Q46">
        <f>(ROUND((ROUND(((ET46)*AV46*I46),2)*BB46),2)+ROUND((ROUND(((AE46-(EU46))*AV46*I46),2)*BS46),2))</f>
        <v>0</v>
      </c>
      <c r="R46">
        <f>(ROUND((ROUND(((EU46)*AV46*I46),2)*BS46),2)+ROUND((ROUND(((AE46-(EU46))*AV46*I46),2)*BS46),2))</f>
        <v>0</v>
      </c>
      <c r="S46">
        <f t="shared" si="23"/>
        <v>0</v>
      </c>
      <c r="T46">
        <f t="shared" si="24"/>
        <v>0</v>
      </c>
      <c r="U46">
        <f t="shared" si="25"/>
        <v>0</v>
      </c>
      <c r="V46">
        <f t="shared" si="26"/>
        <v>0</v>
      </c>
      <c r="W46">
        <f t="shared" si="27"/>
        <v>0</v>
      </c>
      <c r="X46">
        <f>(ROUND((((S46+ROUND((ROUND(((EU46)*AV46*I46),2)*BS46),2))*AT46)/100),2)+ROUND(((ROUND((ROUND(((AE46-(EU46))*AV46*I46),2)*BS46),2)*AT46)/100),2))</f>
        <v>0</v>
      </c>
      <c r="Y46">
        <f>(ROUND((((S46+ROUND((ROUND(((EU46)*AV46*I46),2)*BS46),2))*AU46)/100),2)+ROUND(((ROUND((ROUND(((AE46-(EU46))*AV46*I46),2)*BS46),2)*AU46)/100),2))</f>
        <v>0</v>
      </c>
      <c r="AA46">
        <v>76282491</v>
      </c>
      <c r="AB46">
        <f t="shared" si="28"/>
        <v>0</v>
      </c>
      <c r="AC46">
        <f>ROUND((ES46),6)</f>
        <v>0</v>
      </c>
      <c r="AD46">
        <f>ROUND((((ET46)-(EU46))+AE46),6)</f>
        <v>0</v>
      </c>
      <c r="AE46">
        <f t="shared" si="54"/>
        <v>0</v>
      </c>
      <c r="AF46">
        <f t="shared" si="54"/>
        <v>0</v>
      </c>
      <c r="AG46">
        <f t="shared" si="29"/>
        <v>0</v>
      </c>
      <c r="AH46">
        <f t="shared" si="55"/>
        <v>0</v>
      </c>
      <c r="AI46">
        <f t="shared" si="55"/>
        <v>0</v>
      </c>
      <c r="AJ46">
        <f t="shared" si="30"/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97</v>
      </c>
      <c r="AU46">
        <v>51</v>
      </c>
      <c r="AV46">
        <v>1</v>
      </c>
      <c r="AW46">
        <v>1</v>
      </c>
      <c r="AZ46">
        <v>1</v>
      </c>
      <c r="BA46">
        <v>1</v>
      </c>
      <c r="BB46">
        <v>1</v>
      </c>
      <c r="BC46">
        <v>1</v>
      </c>
      <c r="BD46" t="s">
        <v>3</v>
      </c>
      <c r="BE46" t="s">
        <v>3</v>
      </c>
      <c r="BF46" t="s">
        <v>3</v>
      </c>
      <c r="BG46" t="s">
        <v>3</v>
      </c>
      <c r="BH46">
        <v>3</v>
      </c>
      <c r="BI46">
        <v>2</v>
      </c>
      <c r="BJ46" t="s">
        <v>3</v>
      </c>
      <c r="BM46">
        <v>67</v>
      </c>
      <c r="BN46">
        <v>0</v>
      </c>
      <c r="BO46" t="s">
        <v>3</v>
      </c>
      <c r="BP46">
        <v>0</v>
      </c>
      <c r="BQ46">
        <v>40</v>
      </c>
      <c r="BR46">
        <v>0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 t="s">
        <v>3</v>
      </c>
      <c r="BZ46">
        <v>97</v>
      </c>
      <c r="CA46">
        <v>51</v>
      </c>
      <c r="CB46" t="s">
        <v>3</v>
      </c>
      <c r="CE46">
        <v>1566</v>
      </c>
      <c r="CF46">
        <v>0</v>
      </c>
      <c r="CG46">
        <v>0</v>
      </c>
      <c r="CM46">
        <v>0</v>
      </c>
      <c r="CN46" t="s">
        <v>454</v>
      </c>
      <c r="CO46">
        <v>0</v>
      </c>
      <c r="CP46">
        <f t="shared" si="31"/>
        <v>0</v>
      </c>
      <c r="CQ46">
        <f t="shared" si="51"/>
        <v>0</v>
      </c>
      <c r="CR46">
        <f>(ROUND((ROUND(((ET46)*AV46*1),2)*BB46),2)+ROUND((ROUND(((AE46-(EU46))*AV46*1),2)*BS46),2))</f>
        <v>0</v>
      </c>
      <c r="CS46">
        <f>(ROUND((ROUND(((EU46)*AV46*1),2)*BS46),2)+ROUND((ROUND(((AE46-(EU46))*AV46*1),2)*BS46),2))</f>
        <v>0</v>
      </c>
      <c r="CT46">
        <f t="shared" si="33"/>
        <v>0</v>
      </c>
      <c r="CU46">
        <f t="shared" si="34"/>
        <v>0</v>
      </c>
      <c r="CV46">
        <f t="shared" si="35"/>
        <v>0</v>
      </c>
      <c r="CW46">
        <f t="shared" si="36"/>
        <v>0</v>
      </c>
      <c r="CX46">
        <f t="shared" si="37"/>
        <v>0</v>
      </c>
      <c r="CY46">
        <f>(ROUND((((S46+ROUND((ROUND(((EU46)*AV46*1),2)*BS46),2))*AT46)/100),2)+ROUND(((ROUND((ROUND(((AE46-(EU46))*AV46*1),2)*BS46),2)*AT46)/100),2))</f>
        <v>0</v>
      </c>
      <c r="CZ46">
        <f>(ROUND((((S46+ROUND((ROUND(((EU46)*AV46*1),2)*BS46),2))*AU46)/100),2)+ROUND(((ROUND((ROUND(((AE46-(EU46))*AV46*1),2)*BS46),2)*AU46)/100),2))</f>
        <v>0</v>
      </c>
      <c r="DC46" t="s">
        <v>3</v>
      </c>
      <c r="DD46" t="s">
        <v>3</v>
      </c>
      <c r="DE46" t="s">
        <v>3</v>
      </c>
      <c r="DF46" t="s">
        <v>3</v>
      </c>
      <c r="DG46" t="s">
        <v>3</v>
      </c>
      <c r="DH46" t="s">
        <v>3</v>
      </c>
      <c r="DI46" t="s">
        <v>3</v>
      </c>
      <c r="DJ46" t="s">
        <v>3</v>
      </c>
      <c r="DK46" t="s">
        <v>3</v>
      </c>
      <c r="DL46" t="s">
        <v>3</v>
      </c>
      <c r="DM46" t="s">
        <v>3</v>
      </c>
      <c r="DN46">
        <v>0</v>
      </c>
      <c r="DO46">
        <v>0</v>
      </c>
      <c r="DP46">
        <v>1</v>
      </c>
      <c r="DQ46">
        <v>1</v>
      </c>
      <c r="DU46">
        <v>1009</v>
      </c>
      <c r="DV46" t="s">
        <v>39</v>
      </c>
      <c r="DW46" t="s">
        <v>39</v>
      </c>
      <c r="DX46">
        <v>1000</v>
      </c>
      <c r="DZ46" t="s">
        <v>3</v>
      </c>
      <c r="EA46" t="s">
        <v>3</v>
      </c>
      <c r="EB46" t="s">
        <v>3</v>
      </c>
      <c r="EC46" t="s">
        <v>3</v>
      </c>
      <c r="EE46">
        <v>76282301</v>
      </c>
      <c r="EF46">
        <v>40</v>
      </c>
      <c r="EG46" t="s">
        <v>20</v>
      </c>
      <c r="EH46">
        <v>0</v>
      </c>
      <c r="EI46" t="s">
        <v>3</v>
      </c>
      <c r="EJ46">
        <v>2</v>
      </c>
      <c r="EK46">
        <v>67</v>
      </c>
      <c r="EL46" t="s">
        <v>21</v>
      </c>
      <c r="EM46" t="s">
        <v>22</v>
      </c>
      <c r="EO46" t="s">
        <v>62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FQ46">
        <v>0</v>
      </c>
      <c r="FR46">
        <v>0</v>
      </c>
      <c r="FS46">
        <v>0</v>
      </c>
      <c r="FX46">
        <v>97</v>
      </c>
      <c r="FY46">
        <v>51</v>
      </c>
      <c r="GA46" t="s">
        <v>3</v>
      </c>
      <c r="GD46">
        <v>1</v>
      </c>
      <c r="GF46">
        <v>-21282126</v>
      </c>
      <c r="GG46">
        <v>2</v>
      </c>
      <c r="GH46">
        <v>0</v>
      </c>
      <c r="GI46">
        <v>-2</v>
      </c>
      <c r="GJ46">
        <v>0</v>
      </c>
      <c r="GK46">
        <v>0</v>
      </c>
      <c r="GL46">
        <f t="shared" si="38"/>
        <v>0</v>
      </c>
      <c r="GM46">
        <f t="shared" si="39"/>
        <v>0</v>
      </c>
      <c r="GN46">
        <f t="shared" si="40"/>
        <v>0</v>
      </c>
      <c r="GO46">
        <f t="shared" si="41"/>
        <v>0</v>
      </c>
      <c r="GP46">
        <f t="shared" si="42"/>
        <v>0</v>
      </c>
      <c r="GR46">
        <v>0</v>
      </c>
      <c r="GS46">
        <v>0</v>
      </c>
      <c r="GT46">
        <v>0</v>
      </c>
      <c r="GU46" t="s">
        <v>3</v>
      </c>
      <c r="GV46">
        <f t="shared" si="43"/>
        <v>0</v>
      </c>
      <c r="GW46">
        <v>1</v>
      </c>
      <c r="GX46">
        <f t="shared" si="44"/>
        <v>0</v>
      </c>
      <c r="HA46">
        <v>0</v>
      </c>
      <c r="HB46">
        <v>0</v>
      </c>
      <c r="HC46">
        <f t="shared" si="45"/>
        <v>0</v>
      </c>
      <c r="HE46" t="s">
        <v>3</v>
      </c>
      <c r="HF46" t="s">
        <v>3</v>
      </c>
      <c r="HM46" t="s">
        <v>60</v>
      </c>
      <c r="HN46" t="s">
        <v>3</v>
      </c>
      <c r="HO46" t="s">
        <v>3</v>
      </c>
      <c r="HP46" t="s">
        <v>3</v>
      </c>
      <c r="HQ46" t="s">
        <v>3</v>
      </c>
      <c r="HS46">
        <v>0</v>
      </c>
      <c r="IK46">
        <v>0</v>
      </c>
    </row>
    <row r="47" spans="1:245">
      <c r="A47">
        <v>17</v>
      </c>
      <c r="B47">
        <v>1</v>
      </c>
      <c r="E47" t="s">
        <v>86</v>
      </c>
      <c r="F47" t="s">
        <v>51</v>
      </c>
      <c r="G47" t="s">
        <v>87</v>
      </c>
      <c r="H47" t="s">
        <v>32</v>
      </c>
      <c r="I47">
        <v>1</v>
      </c>
      <c r="J47">
        <v>0</v>
      </c>
      <c r="K47">
        <v>1</v>
      </c>
      <c r="O47">
        <f t="shared" si="21"/>
        <v>5813.94</v>
      </c>
      <c r="P47">
        <f>ROUND((ROUND((AC47*I47),2)*BC47),2)</f>
        <v>5813.94</v>
      </c>
      <c r="Q47">
        <f>(ROUND((ROUND(((ET47)*AV47*I47),2)*BB47),2)+ROUND((ROUND(((AE47-(EU47))*AV47*I47),2)*BS47),2))</f>
        <v>0</v>
      </c>
      <c r="R47">
        <f>(ROUND((ROUND(((EU47)*AV47*I47),2)*BS47),2)+ROUND((ROUND(((AE47-(EU47))*AV47*I47),2)*BS47),2))</f>
        <v>0</v>
      </c>
      <c r="S47">
        <f t="shared" si="23"/>
        <v>0</v>
      </c>
      <c r="T47">
        <f t="shared" si="24"/>
        <v>0</v>
      </c>
      <c r="U47">
        <f t="shared" si="25"/>
        <v>0</v>
      </c>
      <c r="V47">
        <f t="shared" si="26"/>
        <v>0</v>
      </c>
      <c r="W47">
        <f t="shared" si="27"/>
        <v>0</v>
      </c>
      <c r="X47">
        <f>(ROUND((((S47+ROUND((ROUND(((EU47)*AV47*I47),2)*BS47),2))*AT47)/100),2)+ROUND(((ROUND((ROUND(((AE47-(EU47))*AV47*I47),2)*BS47),2)*AT47)/100),2))</f>
        <v>0</v>
      </c>
      <c r="Y47">
        <f>(ROUND((((S47+ROUND((ROUND(((EU47)*AV47*I47),2)*BS47),2))*AU47)/100),2)+ROUND(((ROUND((ROUND(((AE47-(EU47))*AV47*I47),2)*BS47),2)*AU47)/100),2))</f>
        <v>0</v>
      </c>
      <c r="AA47">
        <v>76282491</v>
      </c>
      <c r="AB47">
        <f t="shared" si="28"/>
        <v>5813.94</v>
      </c>
      <c r="AC47">
        <f>ROUND((ES47),6)</f>
        <v>5813.94</v>
      </c>
      <c r="AD47">
        <f>ROUND((((ET47)-(EU47))+AE47),6)</f>
        <v>0</v>
      </c>
      <c r="AE47">
        <f t="shared" si="54"/>
        <v>0</v>
      </c>
      <c r="AF47">
        <f t="shared" si="54"/>
        <v>0</v>
      </c>
      <c r="AG47">
        <f t="shared" si="29"/>
        <v>0</v>
      </c>
      <c r="AH47">
        <f t="shared" si="55"/>
        <v>0</v>
      </c>
      <c r="AI47">
        <f t="shared" si="55"/>
        <v>0</v>
      </c>
      <c r="AJ47">
        <f t="shared" si="30"/>
        <v>0</v>
      </c>
      <c r="AK47">
        <v>5813.94</v>
      </c>
      <c r="AL47">
        <v>5813.94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1</v>
      </c>
      <c r="AZ47">
        <v>1</v>
      </c>
      <c r="BA47">
        <v>1</v>
      </c>
      <c r="BB47">
        <v>1</v>
      </c>
      <c r="BC47">
        <v>1</v>
      </c>
      <c r="BD47" t="s">
        <v>3</v>
      </c>
      <c r="BE47" t="s">
        <v>3</v>
      </c>
      <c r="BF47" t="s">
        <v>3</v>
      </c>
      <c r="BG47" t="s">
        <v>3</v>
      </c>
      <c r="BH47">
        <v>3</v>
      </c>
      <c r="BI47">
        <v>3</v>
      </c>
      <c r="BJ47" t="s">
        <v>3</v>
      </c>
      <c r="BM47">
        <v>746</v>
      </c>
      <c r="BN47">
        <v>0</v>
      </c>
      <c r="BO47" t="s">
        <v>3</v>
      </c>
      <c r="BP47">
        <v>0</v>
      </c>
      <c r="BQ47">
        <v>130</v>
      </c>
      <c r="BR47">
        <v>0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 t="s">
        <v>3</v>
      </c>
      <c r="BZ47">
        <v>0</v>
      </c>
      <c r="CA47">
        <v>0</v>
      </c>
      <c r="CB47" t="s">
        <v>3</v>
      </c>
      <c r="CE47">
        <v>1566</v>
      </c>
      <c r="CF47">
        <v>0</v>
      </c>
      <c r="CG47">
        <v>0</v>
      </c>
      <c r="CM47">
        <v>0</v>
      </c>
      <c r="CN47" t="s">
        <v>3</v>
      </c>
      <c r="CO47">
        <v>0</v>
      </c>
      <c r="CP47">
        <f t="shared" si="31"/>
        <v>5813.94</v>
      </c>
      <c r="CQ47">
        <f>ROUND((ROUND((AC47*1),2)*BC47),2)</f>
        <v>5813.94</v>
      </c>
      <c r="CR47">
        <f>(ROUND((ROUND(((ET47)*AV47*1),2)*BB47),2)+ROUND((ROUND(((AE47-(EU47))*AV47*1),2)*BS47),2))</f>
        <v>0</v>
      </c>
      <c r="CS47">
        <f>(ROUND((ROUND(((EU47)*AV47*1),2)*BS47),2)+ROUND((ROUND(((AE47-(EU47))*AV47*1),2)*BS47),2))</f>
        <v>0</v>
      </c>
      <c r="CT47">
        <f t="shared" si="33"/>
        <v>0</v>
      </c>
      <c r="CU47">
        <f t="shared" si="34"/>
        <v>0</v>
      </c>
      <c r="CV47">
        <f t="shared" si="35"/>
        <v>0</v>
      </c>
      <c r="CW47">
        <f t="shared" si="36"/>
        <v>0</v>
      </c>
      <c r="CX47">
        <f t="shared" si="37"/>
        <v>0</v>
      </c>
      <c r="CY47">
        <f>(ROUND((((S47+ROUND((ROUND(((EU47)*AV47*1),2)*BS47),2))*AT47)/100),2)+ROUND(((ROUND((ROUND(((AE47-(EU47))*AV47*1),2)*BS47),2)*AT47)/100),2))</f>
        <v>0</v>
      </c>
      <c r="CZ47">
        <f>(ROUND((((S47+ROUND((ROUND(((EU47)*AV47*1),2)*BS47),2))*AU47)/100),2)+ROUND(((ROUND((ROUND(((AE47-(EU47))*AV47*1),2)*BS47),2)*AU47)/100),2))</f>
        <v>0</v>
      </c>
      <c r="DC47" t="s">
        <v>3</v>
      </c>
      <c r="DD47" t="s">
        <v>3</v>
      </c>
      <c r="DE47" t="s">
        <v>3</v>
      </c>
      <c r="DF47" t="s">
        <v>3</v>
      </c>
      <c r="DG47" t="s">
        <v>3</v>
      </c>
      <c r="DH47" t="s">
        <v>3</v>
      </c>
      <c r="DI47" t="s">
        <v>3</v>
      </c>
      <c r="DJ47" t="s">
        <v>3</v>
      </c>
      <c r="DK47" t="s">
        <v>3</v>
      </c>
      <c r="DL47" t="s">
        <v>3</v>
      </c>
      <c r="DM47" t="s">
        <v>3</v>
      </c>
      <c r="DN47">
        <v>0</v>
      </c>
      <c r="DO47">
        <v>0</v>
      </c>
      <c r="DP47">
        <v>1</v>
      </c>
      <c r="DQ47">
        <v>1</v>
      </c>
      <c r="DU47">
        <v>1010</v>
      </c>
      <c r="DV47" t="s">
        <v>32</v>
      </c>
      <c r="DW47" t="s">
        <v>32</v>
      </c>
      <c r="DX47">
        <v>1</v>
      </c>
      <c r="DZ47" t="s">
        <v>3</v>
      </c>
      <c r="EA47" t="s">
        <v>3</v>
      </c>
      <c r="EB47" t="s">
        <v>3</v>
      </c>
      <c r="EC47" t="s">
        <v>3</v>
      </c>
      <c r="EE47">
        <v>76282427</v>
      </c>
      <c r="EF47">
        <v>130</v>
      </c>
      <c r="EG47" t="s">
        <v>53</v>
      </c>
      <c r="EH47">
        <v>0</v>
      </c>
      <c r="EI47" t="s">
        <v>3</v>
      </c>
      <c r="EJ47">
        <v>3</v>
      </c>
      <c r="EK47">
        <v>746</v>
      </c>
      <c r="EL47" t="s">
        <v>54</v>
      </c>
      <c r="EM47" t="s">
        <v>55</v>
      </c>
      <c r="EO47" t="s">
        <v>3</v>
      </c>
      <c r="EQ47">
        <v>131072</v>
      </c>
      <c r="ER47">
        <v>5813.94</v>
      </c>
      <c r="ES47">
        <v>5813.94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5</v>
      </c>
      <c r="FC47">
        <v>0</v>
      </c>
      <c r="FD47">
        <v>18</v>
      </c>
      <c r="FF47">
        <v>5745</v>
      </c>
      <c r="FQ47">
        <v>0</v>
      </c>
      <c r="FR47">
        <f>P47</f>
        <v>5813.94</v>
      </c>
      <c r="FS47">
        <v>0</v>
      </c>
      <c r="FX47">
        <v>0</v>
      </c>
      <c r="FY47">
        <v>0</v>
      </c>
      <c r="GA47" t="s">
        <v>88</v>
      </c>
      <c r="GD47">
        <v>1</v>
      </c>
      <c r="GF47">
        <v>1147417650</v>
      </c>
      <c r="GG47">
        <v>2</v>
      </c>
      <c r="GH47">
        <v>3</v>
      </c>
      <c r="GI47">
        <v>-2</v>
      </c>
      <c r="GJ47">
        <v>0</v>
      </c>
      <c r="GK47">
        <v>0</v>
      </c>
      <c r="GL47">
        <f t="shared" si="38"/>
        <v>0</v>
      </c>
      <c r="GM47">
        <f t="shared" si="39"/>
        <v>5813.94</v>
      </c>
      <c r="GN47">
        <f t="shared" si="40"/>
        <v>0</v>
      </c>
      <c r="GO47">
        <f t="shared" si="41"/>
        <v>0</v>
      </c>
      <c r="GP47">
        <f t="shared" si="42"/>
        <v>0</v>
      </c>
      <c r="GR47">
        <v>1</v>
      </c>
      <c r="GS47">
        <v>1</v>
      </c>
      <c r="GT47">
        <v>0</v>
      </c>
      <c r="GU47" t="s">
        <v>3</v>
      </c>
      <c r="GV47">
        <f t="shared" si="43"/>
        <v>0</v>
      </c>
      <c r="GW47">
        <v>1</v>
      </c>
      <c r="GX47">
        <f t="shared" si="44"/>
        <v>0</v>
      </c>
      <c r="HA47">
        <v>0</v>
      </c>
      <c r="HB47">
        <v>0</v>
      </c>
      <c r="HC47">
        <f t="shared" si="45"/>
        <v>0</v>
      </c>
      <c r="HE47" t="s">
        <v>57</v>
      </c>
      <c r="HF47" t="s">
        <v>29</v>
      </c>
      <c r="HM47" t="s">
        <v>3</v>
      </c>
      <c r="HN47" t="s">
        <v>3</v>
      </c>
      <c r="HO47" t="s">
        <v>3</v>
      </c>
      <c r="HP47" t="s">
        <v>3</v>
      </c>
      <c r="HQ47" t="s">
        <v>3</v>
      </c>
      <c r="HS47">
        <v>0</v>
      </c>
      <c r="IK47">
        <v>0</v>
      </c>
    </row>
    <row r="48" spans="1:245">
      <c r="A48">
        <v>17</v>
      </c>
      <c r="B48">
        <v>1</v>
      </c>
      <c r="E48" t="s">
        <v>89</v>
      </c>
      <c r="F48" t="s">
        <v>90</v>
      </c>
      <c r="G48" t="s">
        <v>91</v>
      </c>
      <c r="H48" t="s">
        <v>92</v>
      </c>
      <c r="I48">
        <f>ROUND(40/100,9)</f>
        <v>0.4</v>
      </c>
      <c r="J48">
        <v>0</v>
      </c>
      <c r="K48">
        <f>ROUND(40/100,9)</f>
        <v>0.4</v>
      </c>
      <c r="O48">
        <f t="shared" si="21"/>
        <v>5738.69</v>
      </c>
      <c r="P48">
        <f t="shared" ref="P48:P54" si="56">ROUND((ROUND((AC48*AW48*I48),2)*BC48),2)</f>
        <v>166.87</v>
      </c>
      <c r="Q48">
        <f>(ROUND((ROUND((((ET48*1.2))*AV48*I48),2)*BB48),2)+ROUND((ROUND(((AE48-((EU48*1.2)))*AV48*I48),2)*BS48),2))</f>
        <v>7.22</v>
      </c>
      <c r="R48">
        <f>(ROUND((ROUND((((EU48*1.2))*AV48*I48),2)*BS48),2)+ROUND((ROUND(((AE48-((EU48*1.2)))*AV48*I48),2)*BS48),2))</f>
        <v>3.47</v>
      </c>
      <c r="S48">
        <f t="shared" si="23"/>
        <v>5564.6</v>
      </c>
      <c r="T48">
        <f t="shared" si="24"/>
        <v>0</v>
      </c>
      <c r="U48">
        <f t="shared" si="25"/>
        <v>7.4160000000000004</v>
      </c>
      <c r="V48">
        <f t="shared" si="26"/>
        <v>0</v>
      </c>
      <c r="W48">
        <f t="shared" si="27"/>
        <v>0</v>
      </c>
      <c r="X48">
        <f>(ROUND((((S48+ROUND((ROUND((((EU48*1.2))*AV48*I48),2)*BS48),2))*AT48)/100),2)+ROUND(((ROUND((ROUND(((AE48-((EU48*1.2)))*AV48*I48),2)*BS48),2)*AT48)/100),2))</f>
        <v>5401.03</v>
      </c>
      <c r="Y48">
        <f>(ROUND((((S48+ROUND((ROUND((((EU48*1.2))*AV48*I48),2)*BS48),2))*AU48)/100),2)+ROUND(((ROUND((ROUND(((AE48-((EU48*1.2)))*AV48*I48),2)*BS48),2)*AU48)/100),2))</f>
        <v>2839.72</v>
      </c>
      <c r="AA48">
        <v>76282491</v>
      </c>
      <c r="AB48">
        <f t="shared" si="28"/>
        <v>315.93599999999998</v>
      </c>
      <c r="AC48">
        <f>ROUND(((ES48*1)),6)</f>
        <v>74.099999999999994</v>
      </c>
      <c r="AD48">
        <f>ROUND(((((ET48*1.2))-((EU48*1.2)))+AE48),6)</f>
        <v>0.996</v>
      </c>
      <c r="AE48">
        <f>ROUND(((EU48*1.2)),6)</f>
        <v>0.156</v>
      </c>
      <c r="AF48">
        <f>ROUND(((EV48*1.2)),6)</f>
        <v>240.84</v>
      </c>
      <c r="AG48">
        <f t="shared" si="29"/>
        <v>0</v>
      </c>
      <c r="AH48">
        <f>((EW48*1.2))</f>
        <v>18.54</v>
      </c>
      <c r="AI48">
        <f>((EX48*1.2))</f>
        <v>0</v>
      </c>
      <c r="AJ48">
        <f t="shared" si="30"/>
        <v>0</v>
      </c>
      <c r="AK48">
        <v>275.63</v>
      </c>
      <c r="AL48">
        <v>74.099999999999994</v>
      </c>
      <c r="AM48">
        <v>0.83</v>
      </c>
      <c r="AN48">
        <v>0.13</v>
      </c>
      <c r="AO48">
        <v>200.7</v>
      </c>
      <c r="AP48">
        <v>0</v>
      </c>
      <c r="AQ48">
        <v>15.45</v>
      </c>
      <c r="AR48">
        <v>0</v>
      </c>
      <c r="AS48">
        <v>0</v>
      </c>
      <c r="AT48">
        <v>97</v>
      </c>
      <c r="AU48">
        <v>51</v>
      </c>
      <c r="AV48">
        <v>1</v>
      </c>
      <c r="AW48">
        <v>1</v>
      </c>
      <c r="AZ48">
        <v>1</v>
      </c>
      <c r="BA48">
        <v>57.76</v>
      </c>
      <c r="BB48">
        <v>18.04</v>
      </c>
      <c r="BC48">
        <v>5.63</v>
      </c>
      <c r="BD48" t="s">
        <v>3</v>
      </c>
      <c r="BE48" t="s">
        <v>3</v>
      </c>
      <c r="BF48" t="s">
        <v>3</v>
      </c>
      <c r="BG48" t="s">
        <v>3</v>
      </c>
      <c r="BH48">
        <v>0</v>
      </c>
      <c r="BI48">
        <v>2</v>
      </c>
      <c r="BJ48" t="s">
        <v>93</v>
      </c>
      <c r="BM48">
        <v>67</v>
      </c>
      <c r="BN48">
        <v>0</v>
      </c>
      <c r="BO48" t="s">
        <v>90</v>
      </c>
      <c r="BP48">
        <v>1</v>
      </c>
      <c r="BQ48">
        <v>40</v>
      </c>
      <c r="BR48">
        <v>0</v>
      </c>
      <c r="BS48">
        <v>57.76</v>
      </c>
      <c r="BT48">
        <v>1</v>
      </c>
      <c r="BU48">
        <v>1</v>
      </c>
      <c r="BV48">
        <v>1</v>
      </c>
      <c r="BW48">
        <v>1</v>
      </c>
      <c r="BX48">
        <v>1</v>
      </c>
      <c r="BY48" t="s">
        <v>3</v>
      </c>
      <c r="BZ48">
        <v>97</v>
      </c>
      <c r="CA48">
        <v>51</v>
      </c>
      <c r="CB48" t="s">
        <v>3</v>
      </c>
      <c r="CE48">
        <v>1566</v>
      </c>
      <c r="CF48">
        <v>0</v>
      </c>
      <c r="CG48">
        <v>0</v>
      </c>
      <c r="CM48">
        <v>0</v>
      </c>
      <c r="CN48" t="s">
        <v>454</v>
      </c>
      <c r="CO48">
        <v>0</v>
      </c>
      <c r="CP48">
        <f t="shared" si="31"/>
        <v>5738.6900000000005</v>
      </c>
      <c r="CQ48">
        <f t="shared" ref="CQ48:CQ54" si="57">ROUND((ROUND((AC48*AW48*1),2)*BC48),2)</f>
        <v>417.18</v>
      </c>
      <c r="CR48">
        <f>(ROUND((ROUND((((ET48*1.2))*AV48*1),2)*BB48),2)+ROUND((ROUND(((AE48-((EU48*1.2)))*AV48*1),2)*BS48),2))</f>
        <v>18.04</v>
      </c>
      <c r="CS48">
        <f>(ROUND((ROUND((((EU48*1.2))*AV48*1),2)*BS48),2)+ROUND((ROUND(((AE48-((EU48*1.2)))*AV48*1),2)*BS48),2))</f>
        <v>9.24</v>
      </c>
      <c r="CT48">
        <f t="shared" si="33"/>
        <v>13910.92</v>
      </c>
      <c r="CU48">
        <f t="shared" si="34"/>
        <v>0</v>
      </c>
      <c r="CV48">
        <f t="shared" si="35"/>
        <v>18.54</v>
      </c>
      <c r="CW48">
        <f t="shared" si="36"/>
        <v>0</v>
      </c>
      <c r="CX48">
        <f t="shared" si="37"/>
        <v>0</v>
      </c>
      <c r="CY48">
        <f>(ROUND((((S48+ROUND((ROUND((((EU48*1.2))*AV48*1),2)*BS48),2))*AT48)/100),2)+ROUND(((ROUND((ROUND(((AE48-((EU48*1.2)))*AV48*1),2)*BS48),2)*AT48)/100),2))</f>
        <v>5406.62</v>
      </c>
      <c r="CZ48">
        <f>(ROUND((((S48+ROUND((ROUND((((EU48*1.2))*AV48*1),2)*BS48),2))*AU48)/100),2)+ROUND(((ROUND((ROUND(((AE48-((EU48*1.2)))*AV48*1),2)*BS48),2)*AU48)/100),2))</f>
        <v>2842.66</v>
      </c>
      <c r="DB48">
        <v>5</v>
      </c>
      <c r="DC48" t="s">
        <v>3</v>
      </c>
      <c r="DD48" t="s">
        <v>60</v>
      </c>
      <c r="DE48" t="s">
        <v>61</v>
      </c>
      <c r="DF48" t="s">
        <v>61</v>
      </c>
      <c r="DG48" t="s">
        <v>61</v>
      </c>
      <c r="DH48" t="s">
        <v>3</v>
      </c>
      <c r="DI48" t="s">
        <v>61</v>
      </c>
      <c r="DJ48" t="s">
        <v>61</v>
      </c>
      <c r="DK48" t="s">
        <v>3</v>
      </c>
      <c r="DL48" t="s">
        <v>3</v>
      </c>
      <c r="DM48" t="s">
        <v>3</v>
      </c>
      <c r="DN48">
        <v>0</v>
      </c>
      <c r="DO48">
        <v>0</v>
      </c>
      <c r="DP48">
        <v>1</v>
      </c>
      <c r="DQ48">
        <v>1</v>
      </c>
      <c r="DU48">
        <v>1013</v>
      </c>
      <c r="DV48" t="s">
        <v>92</v>
      </c>
      <c r="DW48" t="s">
        <v>92</v>
      </c>
      <c r="DX48">
        <v>1</v>
      </c>
      <c r="DZ48" t="s">
        <v>3</v>
      </c>
      <c r="EA48" t="s">
        <v>3</v>
      </c>
      <c r="EB48" t="s">
        <v>3</v>
      </c>
      <c r="EC48" t="s">
        <v>3</v>
      </c>
      <c r="EE48">
        <v>76282301</v>
      </c>
      <c r="EF48">
        <v>40</v>
      </c>
      <c r="EG48" t="s">
        <v>20</v>
      </c>
      <c r="EH48">
        <v>0</v>
      </c>
      <c r="EI48" t="s">
        <v>3</v>
      </c>
      <c r="EJ48">
        <v>2</v>
      </c>
      <c r="EK48">
        <v>67</v>
      </c>
      <c r="EL48" t="s">
        <v>21</v>
      </c>
      <c r="EM48" t="s">
        <v>22</v>
      </c>
      <c r="EO48" t="s">
        <v>62</v>
      </c>
      <c r="EQ48">
        <v>131072</v>
      </c>
      <c r="ER48">
        <v>275.63</v>
      </c>
      <c r="ES48">
        <v>74.099999999999994</v>
      </c>
      <c r="ET48">
        <v>0.83</v>
      </c>
      <c r="EU48">
        <v>0.13</v>
      </c>
      <c r="EV48">
        <v>200.7</v>
      </c>
      <c r="EW48">
        <v>15.45</v>
      </c>
      <c r="EX48">
        <v>0</v>
      </c>
      <c r="EY48">
        <v>0</v>
      </c>
      <c r="FQ48">
        <v>0</v>
      </c>
      <c r="FR48">
        <v>0</v>
      </c>
      <c r="FS48">
        <v>0</v>
      </c>
      <c r="FX48">
        <v>97</v>
      </c>
      <c r="FY48">
        <v>51</v>
      </c>
      <c r="GA48" t="s">
        <v>3</v>
      </c>
      <c r="GD48">
        <v>1</v>
      </c>
      <c r="GF48">
        <v>425532638</v>
      </c>
      <c r="GG48">
        <v>2</v>
      </c>
      <c r="GH48">
        <v>0</v>
      </c>
      <c r="GI48">
        <v>2</v>
      </c>
      <c r="GJ48">
        <v>0</v>
      </c>
      <c r="GK48">
        <v>0</v>
      </c>
      <c r="GL48">
        <f t="shared" si="38"/>
        <v>0</v>
      </c>
      <c r="GM48">
        <f t="shared" si="39"/>
        <v>13979.44</v>
      </c>
      <c r="GN48">
        <f t="shared" si="40"/>
        <v>0</v>
      </c>
      <c r="GO48">
        <f t="shared" si="41"/>
        <v>13979.44</v>
      </c>
      <c r="GP48">
        <f t="shared" si="42"/>
        <v>0</v>
      </c>
      <c r="GR48">
        <v>0</v>
      </c>
      <c r="GS48">
        <v>7</v>
      </c>
      <c r="GT48">
        <v>0</v>
      </c>
      <c r="GU48" t="s">
        <v>3</v>
      </c>
      <c r="GV48">
        <f t="shared" si="43"/>
        <v>0</v>
      </c>
      <c r="GW48">
        <v>1</v>
      </c>
      <c r="GX48">
        <f t="shared" si="44"/>
        <v>0</v>
      </c>
      <c r="HA48">
        <v>0</v>
      </c>
      <c r="HB48">
        <v>0</v>
      </c>
      <c r="HC48">
        <f t="shared" si="45"/>
        <v>0</v>
      </c>
      <c r="HE48" t="s">
        <v>3</v>
      </c>
      <c r="HF48" t="s">
        <v>3</v>
      </c>
      <c r="HM48" t="s">
        <v>3</v>
      </c>
      <c r="HN48" t="s">
        <v>3</v>
      </c>
      <c r="HO48" t="s">
        <v>3</v>
      </c>
      <c r="HP48" t="s">
        <v>3</v>
      </c>
      <c r="HQ48" t="s">
        <v>3</v>
      </c>
      <c r="HS48">
        <v>0</v>
      </c>
      <c r="IK48">
        <v>0</v>
      </c>
    </row>
    <row r="49" spans="1:245">
      <c r="A49">
        <v>18</v>
      </c>
      <c r="B49">
        <v>1</v>
      </c>
      <c r="E49" t="s">
        <v>94</v>
      </c>
      <c r="F49" t="s">
        <v>34</v>
      </c>
      <c r="G49" t="s">
        <v>35</v>
      </c>
      <c r="H49" t="s">
        <v>32</v>
      </c>
      <c r="I49">
        <f>I48*J49</f>
        <v>40.799999999999997</v>
      </c>
      <c r="J49">
        <v>101.99999999999999</v>
      </c>
      <c r="K49">
        <v>102</v>
      </c>
      <c r="O49">
        <f t="shared" si="21"/>
        <v>0</v>
      </c>
      <c r="P49">
        <f t="shared" si="56"/>
        <v>0</v>
      </c>
      <c r="Q49">
        <f>(ROUND((ROUND(((ET49)*AV49*I49),2)*BB49),2)+ROUND((ROUND(((AE49-(EU49))*AV49*I49),2)*BS49),2))</f>
        <v>0</v>
      </c>
      <c r="R49">
        <f>(ROUND((ROUND(((EU49)*AV49*I49),2)*BS49),2)+ROUND((ROUND(((AE49-(EU49))*AV49*I49),2)*BS49),2))</f>
        <v>0</v>
      </c>
      <c r="S49">
        <f t="shared" si="23"/>
        <v>0</v>
      </c>
      <c r="T49">
        <f t="shared" si="24"/>
        <v>0</v>
      </c>
      <c r="U49">
        <f t="shared" si="25"/>
        <v>0</v>
      </c>
      <c r="V49">
        <f t="shared" si="26"/>
        <v>0</v>
      </c>
      <c r="W49">
        <f t="shared" si="27"/>
        <v>0</v>
      </c>
      <c r="X49">
        <f>(ROUND((((S49+ROUND((ROUND(((EU49)*AV49*I49),2)*BS49),2))*AT49)/100),2)+ROUND(((ROUND((ROUND(((AE49-(EU49))*AV49*I49),2)*BS49),2)*AT49)/100),2))</f>
        <v>0</v>
      </c>
      <c r="Y49">
        <f>(ROUND((((S49+ROUND((ROUND(((EU49)*AV49*I49),2)*BS49),2))*AU49)/100),2)+ROUND(((ROUND((ROUND(((AE49-(EU49))*AV49*I49),2)*BS49),2)*AU49)/100),2))</f>
        <v>0</v>
      </c>
      <c r="AA49">
        <v>76282491</v>
      </c>
      <c r="AB49">
        <f t="shared" si="28"/>
        <v>0</v>
      </c>
      <c r="AC49">
        <f>ROUND((ES49),6)</f>
        <v>0</v>
      </c>
      <c r="AD49">
        <f>ROUND((((ET49)-(EU49))+AE49),6)</f>
        <v>0</v>
      </c>
      <c r="AE49">
        <f>ROUND((EU49),6)</f>
        <v>0</v>
      </c>
      <c r="AF49">
        <f>ROUND((EV49),6)</f>
        <v>0</v>
      </c>
      <c r="AG49">
        <f t="shared" si="29"/>
        <v>0</v>
      </c>
      <c r="AH49">
        <f>(EW49)</f>
        <v>0</v>
      </c>
      <c r="AI49">
        <f>(EX49)</f>
        <v>0</v>
      </c>
      <c r="AJ49">
        <f t="shared" si="30"/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97</v>
      </c>
      <c r="AU49">
        <v>51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1</v>
      </c>
      <c r="BD49" t="s">
        <v>3</v>
      </c>
      <c r="BE49" t="s">
        <v>3</v>
      </c>
      <c r="BF49" t="s">
        <v>3</v>
      </c>
      <c r="BG49" t="s">
        <v>3</v>
      </c>
      <c r="BH49">
        <v>3</v>
      </c>
      <c r="BI49">
        <v>2</v>
      </c>
      <c r="BJ49" t="s">
        <v>3</v>
      </c>
      <c r="BM49">
        <v>67</v>
      </c>
      <c r="BN49">
        <v>0</v>
      </c>
      <c r="BO49" t="s">
        <v>3</v>
      </c>
      <c r="BP49">
        <v>0</v>
      </c>
      <c r="BQ49">
        <v>40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97</v>
      </c>
      <c r="CA49">
        <v>51</v>
      </c>
      <c r="CB49" t="s">
        <v>3</v>
      </c>
      <c r="CE49">
        <v>1566</v>
      </c>
      <c r="CF49">
        <v>0</v>
      </c>
      <c r="CG49">
        <v>0</v>
      </c>
      <c r="CM49">
        <v>0</v>
      </c>
      <c r="CN49" t="s">
        <v>454</v>
      </c>
      <c r="CO49">
        <v>0</v>
      </c>
      <c r="CP49">
        <f t="shared" si="31"/>
        <v>0</v>
      </c>
      <c r="CQ49">
        <f t="shared" si="57"/>
        <v>0</v>
      </c>
      <c r="CR49">
        <f>(ROUND((ROUND(((ET49)*AV49*1),2)*BB49),2)+ROUND((ROUND(((AE49-(EU49))*AV49*1),2)*BS49),2))</f>
        <v>0</v>
      </c>
      <c r="CS49">
        <f>(ROUND((ROUND(((EU49)*AV49*1),2)*BS49),2)+ROUND((ROUND(((AE49-(EU49))*AV49*1),2)*BS49),2))</f>
        <v>0</v>
      </c>
      <c r="CT49">
        <f t="shared" si="33"/>
        <v>0</v>
      </c>
      <c r="CU49">
        <f t="shared" si="34"/>
        <v>0</v>
      </c>
      <c r="CV49">
        <f t="shared" si="35"/>
        <v>0</v>
      </c>
      <c r="CW49">
        <f t="shared" si="36"/>
        <v>0</v>
      </c>
      <c r="CX49">
        <f t="shared" si="37"/>
        <v>0</v>
      </c>
      <c r="CY49">
        <f>(ROUND((((S49+ROUND((ROUND(((EU49)*AV49*1),2)*BS49),2))*AT49)/100),2)+ROUND(((ROUND((ROUND(((AE49-(EU49))*AV49*1),2)*BS49),2)*AT49)/100),2))</f>
        <v>0</v>
      </c>
      <c r="CZ49">
        <f>(ROUND((((S49+ROUND((ROUND(((EU49)*AV49*1),2)*BS49),2))*AU49)/100),2)+ROUND(((ROUND((ROUND(((AE49-(EU49))*AV49*1),2)*BS49),2)*AU49)/100),2))</f>
        <v>0</v>
      </c>
      <c r="DC49" t="s">
        <v>3</v>
      </c>
      <c r="DD49" t="s">
        <v>3</v>
      </c>
      <c r="DE49" t="s">
        <v>3</v>
      </c>
      <c r="DF49" t="s">
        <v>3</v>
      </c>
      <c r="DG49" t="s">
        <v>3</v>
      </c>
      <c r="DH49" t="s">
        <v>3</v>
      </c>
      <c r="DI49" t="s">
        <v>3</v>
      </c>
      <c r="DJ49" t="s">
        <v>3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1010</v>
      </c>
      <c r="DV49" t="s">
        <v>32</v>
      </c>
      <c r="DW49" t="s">
        <v>32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76282301</v>
      </c>
      <c r="EF49">
        <v>40</v>
      </c>
      <c r="EG49" t="s">
        <v>20</v>
      </c>
      <c r="EH49">
        <v>0</v>
      </c>
      <c r="EI49" t="s">
        <v>3</v>
      </c>
      <c r="EJ49">
        <v>2</v>
      </c>
      <c r="EK49">
        <v>67</v>
      </c>
      <c r="EL49" t="s">
        <v>21</v>
      </c>
      <c r="EM49" t="s">
        <v>22</v>
      </c>
      <c r="EO49" t="s">
        <v>62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FQ49">
        <v>0</v>
      </c>
      <c r="FR49">
        <v>0</v>
      </c>
      <c r="FS49">
        <v>0</v>
      </c>
      <c r="FX49">
        <v>97</v>
      </c>
      <c r="FY49">
        <v>51</v>
      </c>
      <c r="GA49" t="s">
        <v>3</v>
      </c>
      <c r="GD49">
        <v>1</v>
      </c>
      <c r="GF49">
        <v>-1431231368</v>
      </c>
      <c r="GG49">
        <v>2</v>
      </c>
      <c r="GH49">
        <v>0</v>
      </c>
      <c r="GI49">
        <v>-2</v>
      </c>
      <c r="GJ49">
        <v>0</v>
      </c>
      <c r="GK49">
        <v>0</v>
      </c>
      <c r="GL49">
        <f t="shared" si="38"/>
        <v>0</v>
      </c>
      <c r="GM49">
        <f t="shared" si="39"/>
        <v>0</v>
      </c>
      <c r="GN49">
        <f t="shared" si="40"/>
        <v>0</v>
      </c>
      <c r="GO49">
        <f t="shared" si="41"/>
        <v>0</v>
      </c>
      <c r="GP49">
        <f t="shared" si="42"/>
        <v>0</v>
      </c>
      <c r="GR49">
        <v>0</v>
      </c>
      <c r="GS49">
        <v>0</v>
      </c>
      <c r="GT49">
        <v>0</v>
      </c>
      <c r="GU49" t="s">
        <v>3</v>
      </c>
      <c r="GV49">
        <f t="shared" si="43"/>
        <v>0</v>
      </c>
      <c r="GW49">
        <v>1</v>
      </c>
      <c r="GX49">
        <f t="shared" si="44"/>
        <v>0</v>
      </c>
      <c r="HA49">
        <v>0</v>
      </c>
      <c r="HB49">
        <v>0</v>
      </c>
      <c r="HC49">
        <f t="shared" si="45"/>
        <v>0</v>
      </c>
      <c r="HE49" t="s">
        <v>3</v>
      </c>
      <c r="HF49" t="s">
        <v>3</v>
      </c>
      <c r="HM49" t="s">
        <v>60</v>
      </c>
      <c r="HN49" t="s">
        <v>3</v>
      </c>
      <c r="HO49" t="s">
        <v>3</v>
      </c>
      <c r="HP49" t="s">
        <v>3</v>
      </c>
      <c r="HQ49" t="s">
        <v>3</v>
      </c>
      <c r="HS49">
        <v>0</v>
      </c>
      <c r="IK49">
        <v>0</v>
      </c>
    </row>
    <row r="50" spans="1:245">
      <c r="A50">
        <v>17</v>
      </c>
      <c r="B50">
        <v>1</v>
      </c>
      <c r="E50" t="s">
        <v>95</v>
      </c>
      <c r="F50" t="s">
        <v>96</v>
      </c>
      <c r="G50" t="s">
        <v>97</v>
      </c>
      <c r="H50" t="s">
        <v>98</v>
      </c>
      <c r="I50">
        <v>1</v>
      </c>
      <c r="J50">
        <v>0</v>
      </c>
      <c r="K50">
        <v>1</v>
      </c>
      <c r="O50">
        <f t="shared" si="21"/>
        <v>1891.18</v>
      </c>
      <c r="P50">
        <f t="shared" si="56"/>
        <v>152.32</v>
      </c>
      <c r="Q50">
        <f>(ROUND((ROUND((((ET50*1.2))*AV50*I50),2)*BB50),2)+ROUND((ROUND(((AE50-((EU50*1.2)))*AV50*I50),2)*BS50),2))</f>
        <v>11.84</v>
      </c>
      <c r="R50">
        <f>(ROUND((ROUND((((EU50*1.2))*AV50*I50),2)*BS50),2)+ROUND((ROUND(((AE50-((EU50*1.2)))*AV50*I50),2)*BS50),2))</f>
        <v>0</v>
      </c>
      <c r="S50">
        <f t="shared" si="23"/>
        <v>1727.02</v>
      </c>
      <c r="T50">
        <f t="shared" si="24"/>
        <v>0</v>
      </c>
      <c r="U50">
        <f t="shared" si="25"/>
        <v>2.4</v>
      </c>
      <c r="V50">
        <f t="shared" si="26"/>
        <v>0</v>
      </c>
      <c r="W50">
        <f t="shared" si="27"/>
        <v>0</v>
      </c>
      <c r="X50">
        <f>(ROUND((((S50+ROUND((ROUND((((EU50*1.2))*AV50*I50),2)*BS50),2))*AT50)/100),2)+ROUND(((ROUND((ROUND(((AE50-((EU50*1.2)))*AV50*I50),2)*BS50),2)*AT50)/100),2))</f>
        <v>1675.21</v>
      </c>
      <c r="Y50">
        <f>(ROUND((((S50+ROUND((ROUND((((EU50*1.2))*AV50*I50),2)*BS50),2))*AU50)/100),2)+ROUND(((ROUND((ROUND(((AE50-((EU50*1.2)))*AV50*I50),2)*BS50),2)*AU50)/100),2))</f>
        <v>880.78</v>
      </c>
      <c r="AA50">
        <v>76282491</v>
      </c>
      <c r="AB50">
        <f t="shared" si="28"/>
        <v>56.112000000000002</v>
      </c>
      <c r="AC50">
        <f>ROUND(((ES50*1)),6)</f>
        <v>25.26</v>
      </c>
      <c r="AD50">
        <f>ROUND(((((ET50*1.2))-((EU50*1.2)))+AE50),6)</f>
        <v>0.94799999999999995</v>
      </c>
      <c r="AE50">
        <f>ROUND(((EU50*1.2)),6)</f>
        <v>0</v>
      </c>
      <c r="AF50">
        <f>ROUND(((EV50*1.2)),6)</f>
        <v>29.904</v>
      </c>
      <c r="AG50">
        <f t="shared" si="29"/>
        <v>0</v>
      </c>
      <c r="AH50">
        <f>((EW50*1.2))</f>
        <v>2.4</v>
      </c>
      <c r="AI50">
        <f>((EX50*1.2))</f>
        <v>0</v>
      </c>
      <c r="AJ50">
        <f t="shared" si="30"/>
        <v>0</v>
      </c>
      <c r="AK50">
        <v>50.97</v>
      </c>
      <c r="AL50">
        <v>25.26</v>
      </c>
      <c r="AM50">
        <v>0.79</v>
      </c>
      <c r="AN50">
        <v>0</v>
      </c>
      <c r="AO50">
        <v>24.92</v>
      </c>
      <c r="AP50">
        <v>0</v>
      </c>
      <c r="AQ50">
        <v>2</v>
      </c>
      <c r="AR50">
        <v>0</v>
      </c>
      <c r="AS50">
        <v>0</v>
      </c>
      <c r="AT50">
        <v>97</v>
      </c>
      <c r="AU50">
        <v>51</v>
      </c>
      <c r="AV50">
        <v>1</v>
      </c>
      <c r="AW50">
        <v>1</v>
      </c>
      <c r="AZ50">
        <v>1</v>
      </c>
      <c r="BA50">
        <v>57.76</v>
      </c>
      <c r="BB50">
        <v>12.46</v>
      </c>
      <c r="BC50">
        <v>6.03</v>
      </c>
      <c r="BD50" t="s">
        <v>3</v>
      </c>
      <c r="BE50" t="s">
        <v>3</v>
      </c>
      <c r="BF50" t="s">
        <v>3</v>
      </c>
      <c r="BG50" t="s">
        <v>3</v>
      </c>
      <c r="BH50">
        <v>0</v>
      </c>
      <c r="BI50">
        <v>2</v>
      </c>
      <c r="BJ50" t="s">
        <v>99</v>
      </c>
      <c r="BM50">
        <v>67</v>
      </c>
      <c r="BN50">
        <v>0</v>
      </c>
      <c r="BO50" t="s">
        <v>96</v>
      </c>
      <c r="BP50">
        <v>1</v>
      </c>
      <c r="BQ50">
        <v>40</v>
      </c>
      <c r="BR50">
        <v>0</v>
      </c>
      <c r="BS50">
        <v>57.76</v>
      </c>
      <c r="BT50">
        <v>1</v>
      </c>
      <c r="BU50">
        <v>1</v>
      </c>
      <c r="BV50">
        <v>1</v>
      </c>
      <c r="BW50">
        <v>1</v>
      </c>
      <c r="BX50">
        <v>1</v>
      </c>
      <c r="BY50" t="s">
        <v>3</v>
      </c>
      <c r="BZ50">
        <v>97</v>
      </c>
      <c r="CA50">
        <v>51</v>
      </c>
      <c r="CB50" t="s">
        <v>3</v>
      </c>
      <c r="CE50">
        <v>1566</v>
      </c>
      <c r="CF50">
        <v>0</v>
      </c>
      <c r="CG50">
        <v>0</v>
      </c>
      <c r="CM50">
        <v>0</v>
      </c>
      <c r="CN50" t="s">
        <v>454</v>
      </c>
      <c r="CO50">
        <v>0</v>
      </c>
      <c r="CP50">
        <f t="shared" si="31"/>
        <v>1891.18</v>
      </c>
      <c r="CQ50">
        <f t="shared" si="57"/>
        <v>152.32</v>
      </c>
      <c r="CR50">
        <f>(ROUND((ROUND((((ET50*1.2))*AV50*1),2)*BB50),2)+ROUND((ROUND(((AE50-((EU50*1.2)))*AV50*1),2)*BS50),2))</f>
        <v>11.84</v>
      </c>
      <c r="CS50">
        <f>(ROUND((ROUND((((EU50*1.2))*AV50*1),2)*BS50),2)+ROUND((ROUND(((AE50-((EU50*1.2)))*AV50*1),2)*BS50),2))</f>
        <v>0</v>
      </c>
      <c r="CT50">
        <f t="shared" si="33"/>
        <v>1727.02</v>
      </c>
      <c r="CU50">
        <f t="shared" si="34"/>
        <v>0</v>
      </c>
      <c r="CV50">
        <f t="shared" si="35"/>
        <v>2.4</v>
      </c>
      <c r="CW50">
        <f t="shared" si="36"/>
        <v>0</v>
      </c>
      <c r="CX50">
        <f t="shared" si="37"/>
        <v>0</v>
      </c>
      <c r="CY50">
        <f>(ROUND((((S50+ROUND((ROUND((((EU50*1.2))*AV50*1),2)*BS50),2))*AT50)/100),2)+ROUND(((ROUND((ROUND(((AE50-((EU50*1.2)))*AV50*1),2)*BS50),2)*AT50)/100),2))</f>
        <v>1675.21</v>
      </c>
      <c r="CZ50">
        <f>(ROUND((((S50+ROUND((ROUND((((EU50*1.2))*AV50*1),2)*BS50),2))*AU50)/100),2)+ROUND(((ROUND((ROUND(((AE50-((EU50*1.2)))*AV50*1),2)*BS50),2)*AU50)/100),2))</f>
        <v>880.78</v>
      </c>
      <c r="DB50">
        <v>6</v>
      </c>
      <c r="DC50" t="s">
        <v>3</v>
      </c>
      <c r="DD50" t="s">
        <v>60</v>
      </c>
      <c r="DE50" t="s">
        <v>61</v>
      </c>
      <c r="DF50" t="s">
        <v>61</v>
      </c>
      <c r="DG50" t="s">
        <v>61</v>
      </c>
      <c r="DH50" t="s">
        <v>3</v>
      </c>
      <c r="DI50" t="s">
        <v>61</v>
      </c>
      <c r="DJ50" t="s">
        <v>61</v>
      </c>
      <c r="DK50" t="s">
        <v>3</v>
      </c>
      <c r="DL50" t="s">
        <v>3</v>
      </c>
      <c r="DM50" t="s">
        <v>3</v>
      </c>
      <c r="DN50">
        <v>0</v>
      </c>
      <c r="DO50">
        <v>0</v>
      </c>
      <c r="DP50">
        <v>1</v>
      </c>
      <c r="DQ50">
        <v>1</v>
      </c>
      <c r="DU50">
        <v>1013</v>
      </c>
      <c r="DV50" t="s">
        <v>98</v>
      </c>
      <c r="DW50" t="s">
        <v>98</v>
      </c>
      <c r="DX50">
        <v>1</v>
      </c>
      <c r="DZ50" t="s">
        <v>3</v>
      </c>
      <c r="EA50" t="s">
        <v>3</v>
      </c>
      <c r="EB50" t="s">
        <v>3</v>
      </c>
      <c r="EC50" t="s">
        <v>3</v>
      </c>
      <c r="EE50">
        <v>76282301</v>
      </c>
      <c r="EF50">
        <v>40</v>
      </c>
      <c r="EG50" t="s">
        <v>20</v>
      </c>
      <c r="EH50">
        <v>0</v>
      </c>
      <c r="EI50" t="s">
        <v>3</v>
      </c>
      <c r="EJ50">
        <v>2</v>
      </c>
      <c r="EK50">
        <v>67</v>
      </c>
      <c r="EL50" t="s">
        <v>21</v>
      </c>
      <c r="EM50" t="s">
        <v>22</v>
      </c>
      <c r="EO50" t="s">
        <v>62</v>
      </c>
      <c r="EQ50">
        <v>131072</v>
      </c>
      <c r="ER50">
        <v>50.97</v>
      </c>
      <c r="ES50">
        <v>25.26</v>
      </c>
      <c r="ET50">
        <v>0.79</v>
      </c>
      <c r="EU50">
        <v>0</v>
      </c>
      <c r="EV50">
        <v>24.92</v>
      </c>
      <c r="EW50">
        <v>2</v>
      </c>
      <c r="EX50">
        <v>0</v>
      </c>
      <c r="EY50">
        <v>0</v>
      </c>
      <c r="FQ50">
        <v>0</v>
      </c>
      <c r="FR50">
        <v>0</v>
      </c>
      <c r="FS50">
        <v>0</v>
      </c>
      <c r="FX50">
        <v>97</v>
      </c>
      <c r="FY50">
        <v>51</v>
      </c>
      <c r="GA50" t="s">
        <v>3</v>
      </c>
      <c r="GD50">
        <v>1</v>
      </c>
      <c r="GF50">
        <v>168109269</v>
      </c>
      <c r="GG50">
        <v>2</v>
      </c>
      <c r="GH50">
        <v>0</v>
      </c>
      <c r="GI50">
        <v>2</v>
      </c>
      <c r="GJ50">
        <v>0</v>
      </c>
      <c r="GK50">
        <v>0</v>
      </c>
      <c r="GL50">
        <f t="shared" si="38"/>
        <v>0</v>
      </c>
      <c r="GM50">
        <f t="shared" si="39"/>
        <v>4447.17</v>
      </c>
      <c r="GN50">
        <f t="shared" si="40"/>
        <v>0</v>
      </c>
      <c r="GO50">
        <f t="shared" si="41"/>
        <v>4447.17</v>
      </c>
      <c r="GP50">
        <f t="shared" si="42"/>
        <v>0</v>
      </c>
      <c r="GR50">
        <v>0</v>
      </c>
      <c r="GS50">
        <v>7</v>
      </c>
      <c r="GT50">
        <v>0</v>
      </c>
      <c r="GU50" t="s">
        <v>3</v>
      </c>
      <c r="GV50">
        <f t="shared" si="43"/>
        <v>0</v>
      </c>
      <c r="GW50">
        <v>1</v>
      </c>
      <c r="GX50">
        <f t="shared" si="44"/>
        <v>0</v>
      </c>
      <c r="HA50">
        <v>0</v>
      </c>
      <c r="HB50">
        <v>0</v>
      </c>
      <c r="HC50">
        <f t="shared" si="45"/>
        <v>0</v>
      </c>
      <c r="HE50" t="s">
        <v>3</v>
      </c>
      <c r="HF50" t="s">
        <v>3</v>
      </c>
      <c r="HM50" t="s">
        <v>3</v>
      </c>
      <c r="HN50" t="s">
        <v>3</v>
      </c>
      <c r="HO50" t="s">
        <v>3</v>
      </c>
      <c r="HP50" t="s">
        <v>3</v>
      </c>
      <c r="HQ50" t="s">
        <v>3</v>
      </c>
      <c r="HS50">
        <v>0</v>
      </c>
      <c r="IK50">
        <v>0</v>
      </c>
    </row>
    <row r="51" spans="1:245">
      <c r="A51">
        <v>18</v>
      </c>
      <c r="B51">
        <v>1</v>
      </c>
      <c r="E51" t="s">
        <v>100</v>
      </c>
      <c r="F51" t="s">
        <v>64</v>
      </c>
      <c r="G51" t="s">
        <v>65</v>
      </c>
      <c r="H51" t="s">
        <v>39</v>
      </c>
      <c r="I51">
        <f>I50*J51</f>
        <v>5.0000000000000002E-5</v>
      </c>
      <c r="J51">
        <v>5.0000000000000002E-5</v>
      </c>
      <c r="K51">
        <v>5.0000000000000002E-5</v>
      </c>
      <c r="O51">
        <f t="shared" si="21"/>
        <v>4.29</v>
      </c>
      <c r="P51">
        <f t="shared" si="56"/>
        <v>4.29</v>
      </c>
      <c r="Q51">
        <f t="shared" ref="Q51:Q59" si="58">(ROUND((ROUND(((ET51)*AV51*I51),2)*BB51),2)+ROUND((ROUND(((AE51-(EU51))*AV51*I51),2)*BS51),2))</f>
        <v>0</v>
      </c>
      <c r="R51">
        <f t="shared" ref="R51:R59" si="59">(ROUND((ROUND(((EU51)*AV51*I51),2)*BS51),2)+ROUND((ROUND(((AE51-(EU51))*AV51*I51),2)*BS51),2))</f>
        <v>0</v>
      </c>
      <c r="S51">
        <f t="shared" si="23"/>
        <v>0</v>
      </c>
      <c r="T51">
        <f t="shared" si="24"/>
        <v>0</v>
      </c>
      <c r="U51">
        <f t="shared" si="25"/>
        <v>0</v>
      </c>
      <c r="V51">
        <f t="shared" si="26"/>
        <v>0</v>
      </c>
      <c r="W51">
        <f t="shared" si="27"/>
        <v>0</v>
      </c>
      <c r="X51">
        <f t="shared" ref="X51:X59" si="60">(ROUND((((S51+ROUND((ROUND(((EU51)*AV51*I51),2)*BS51),2))*AT51)/100),2)+ROUND(((ROUND((ROUND(((AE51-(EU51))*AV51*I51),2)*BS51),2)*AT51)/100),2))</f>
        <v>0</v>
      </c>
      <c r="Y51">
        <f t="shared" ref="Y51:Y59" si="61">(ROUND((((S51+ROUND((ROUND(((EU51)*AV51*I51),2)*BS51),2))*AU51)/100),2)+ROUND(((ROUND((ROUND(((AE51-(EU51))*AV51*I51),2)*BS51),2)*AU51)/100),2))</f>
        <v>0</v>
      </c>
      <c r="AA51">
        <v>76282491</v>
      </c>
      <c r="AB51">
        <f t="shared" si="28"/>
        <v>24609.759999999998</v>
      </c>
      <c r="AC51">
        <f t="shared" ref="AC51:AC59" si="62">ROUND((ES51),6)</f>
        <v>24609.759999999998</v>
      </c>
      <c r="AD51">
        <f t="shared" ref="AD51:AD59" si="63">ROUND((((ET51)-(EU51))+AE51),6)</f>
        <v>0</v>
      </c>
      <c r="AE51">
        <f t="shared" ref="AE51:AE59" si="64">ROUND((EU51),6)</f>
        <v>0</v>
      </c>
      <c r="AF51">
        <f t="shared" ref="AF51:AF59" si="65">ROUND((EV51),6)</f>
        <v>0</v>
      </c>
      <c r="AG51">
        <f t="shared" si="29"/>
        <v>0</v>
      </c>
      <c r="AH51">
        <f t="shared" ref="AH51:AH59" si="66">(EW51)</f>
        <v>0</v>
      </c>
      <c r="AI51">
        <f t="shared" ref="AI51:AI59" si="67">(EX51)</f>
        <v>0</v>
      </c>
      <c r="AJ51">
        <f t="shared" si="30"/>
        <v>0</v>
      </c>
      <c r="AK51">
        <v>24609.759999999998</v>
      </c>
      <c r="AL51">
        <v>24609.759999999998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97</v>
      </c>
      <c r="AU51">
        <v>51</v>
      </c>
      <c r="AV51">
        <v>1</v>
      </c>
      <c r="AW51">
        <v>1</v>
      </c>
      <c r="AZ51">
        <v>1</v>
      </c>
      <c r="BA51">
        <v>1</v>
      </c>
      <c r="BB51">
        <v>1</v>
      </c>
      <c r="BC51">
        <v>3.49</v>
      </c>
      <c r="BD51" t="s">
        <v>3</v>
      </c>
      <c r="BE51" t="s">
        <v>3</v>
      </c>
      <c r="BF51" t="s">
        <v>3</v>
      </c>
      <c r="BG51" t="s">
        <v>3</v>
      </c>
      <c r="BH51">
        <v>3</v>
      </c>
      <c r="BI51">
        <v>2</v>
      </c>
      <c r="BJ51" t="s">
        <v>66</v>
      </c>
      <c r="BM51">
        <v>67</v>
      </c>
      <c r="BN51">
        <v>0</v>
      </c>
      <c r="BO51" t="s">
        <v>64</v>
      </c>
      <c r="BP51">
        <v>1</v>
      </c>
      <c r="BQ51">
        <v>40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 t="s">
        <v>3</v>
      </c>
      <c r="BZ51">
        <v>97</v>
      </c>
      <c r="CA51">
        <v>51</v>
      </c>
      <c r="CB51" t="s">
        <v>3</v>
      </c>
      <c r="CE51">
        <v>1566</v>
      </c>
      <c r="CF51">
        <v>0</v>
      </c>
      <c r="CG51">
        <v>0</v>
      </c>
      <c r="CM51">
        <v>0</v>
      </c>
      <c r="CN51" t="s">
        <v>454</v>
      </c>
      <c r="CO51">
        <v>0</v>
      </c>
      <c r="CP51">
        <f t="shared" si="31"/>
        <v>4.29</v>
      </c>
      <c r="CQ51">
        <f t="shared" si="57"/>
        <v>85888.06</v>
      </c>
      <c r="CR51">
        <f t="shared" ref="CR51:CR59" si="68">(ROUND((ROUND(((ET51)*AV51*1),2)*BB51),2)+ROUND((ROUND(((AE51-(EU51))*AV51*1),2)*BS51),2))</f>
        <v>0</v>
      </c>
      <c r="CS51">
        <f t="shared" ref="CS51:CS59" si="69">(ROUND((ROUND(((EU51)*AV51*1),2)*BS51),2)+ROUND((ROUND(((AE51-(EU51))*AV51*1),2)*BS51),2))</f>
        <v>0</v>
      </c>
      <c r="CT51">
        <f t="shared" si="33"/>
        <v>0</v>
      </c>
      <c r="CU51">
        <f t="shared" si="34"/>
        <v>0</v>
      </c>
      <c r="CV51">
        <f t="shared" si="35"/>
        <v>0</v>
      </c>
      <c r="CW51">
        <f t="shared" si="36"/>
        <v>0</v>
      </c>
      <c r="CX51">
        <f t="shared" si="37"/>
        <v>0</v>
      </c>
      <c r="CY51">
        <f t="shared" ref="CY51:CY59" si="70">(ROUND((((S51+ROUND((ROUND(((EU51)*AV51*1),2)*BS51),2))*AT51)/100),2)+ROUND(((ROUND((ROUND(((AE51-(EU51))*AV51*1),2)*BS51),2)*AT51)/100),2))</f>
        <v>0</v>
      </c>
      <c r="CZ51">
        <f t="shared" ref="CZ51:CZ59" si="71">(ROUND((((S51+ROUND((ROUND(((EU51)*AV51*1),2)*BS51),2))*AU51)/100),2)+ROUND(((ROUND((ROUND(((AE51-(EU51))*AV51*1),2)*BS51),2)*AU51)/100),2))</f>
        <v>0</v>
      </c>
      <c r="DC51" t="s">
        <v>3</v>
      </c>
      <c r="DD51" t="s">
        <v>3</v>
      </c>
      <c r="DE51" t="s">
        <v>3</v>
      </c>
      <c r="DF51" t="s">
        <v>3</v>
      </c>
      <c r="DG51" t="s">
        <v>3</v>
      </c>
      <c r="DH51" t="s">
        <v>3</v>
      </c>
      <c r="DI51" t="s">
        <v>3</v>
      </c>
      <c r="DJ51" t="s">
        <v>3</v>
      </c>
      <c r="DK51" t="s">
        <v>3</v>
      </c>
      <c r="DL51" t="s">
        <v>3</v>
      </c>
      <c r="DM51" t="s">
        <v>3</v>
      </c>
      <c r="DN51">
        <v>0</v>
      </c>
      <c r="DO51">
        <v>0</v>
      </c>
      <c r="DP51">
        <v>1</v>
      </c>
      <c r="DQ51">
        <v>1</v>
      </c>
      <c r="DU51">
        <v>1009</v>
      </c>
      <c r="DV51" t="s">
        <v>39</v>
      </c>
      <c r="DW51" t="s">
        <v>39</v>
      </c>
      <c r="DX51">
        <v>1000</v>
      </c>
      <c r="DZ51" t="s">
        <v>3</v>
      </c>
      <c r="EA51" t="s">
        <v>3</v>
      </c>
      <c r="EB51" t="s">
        <v>3</v>
      </c>
      <c r="EC51" t="s">
        <v>3</v>
      </c>
      <c r="EE51">
        <v>76282301</v>
      </c>
      <c r="EF51">
        <v>40</v>
      </c>
      <c r="EG51" t="s">
        <v>20</v>
      </c>
      <c r="EH51">
        <v>0</v>
      </c>
      <c r="EI51" t="s">
        <v>3</v>
      </c>
      <c r="EJ51">
        <v>2</v>
      </c>
      <c r="EK51">
        <v>67</v>
      </c>
      <c r="EL51" t="s">
        <v>21</v>
      </c>
      <c r="EM51" t="s">
        <v>22</v>
      </c>
      <c r="EO51" t="s">
        <v>62</v>
      </c>
      <c r="EQ51">
        <v>0</v>
      </c>
      <c r="ER51">
        <v>24609.759999999998</v>
      </c>
      <c r="ES51">
        <v>24609.759999999998</v>
      </c>
      <c r="ET51">
        <v>0</v>
      </c>
      <c r="EU51">
        <v>0</v>
      </c>
      <c r="EV51">
        <v>0</v>
      </c>
      <c r="EW51">
        <v>0</v>
      </c>
      <c r="EX51">
        <v>0</v>
      </c>
      <c r="FQ51">
        <v>0</v>
      </c>
      <c r="FR51">
        <v>0</v>
      </c>
      <c r="FS51">
        <v>0</v>
      </c>
      <c r="FX51">
        <v>97</v>
      </c>
      <c r="FY51">
        <v>51</v>
      </c>
      <c r="GA51" t="s">
        <v>3</v>
      </c>
      <c r="GD51">
        <v>1</v>
      </c>
      <c r="GF51">
        <v>-566361729</v>
      </c>
      <c r="GG51">
        <v>2</v>
      </c>
      <c r="GH51">
        <v>0</v>
      </c>
      <c r="GI51">
        <v>2</v>
      </c>
      <c r="GJ51">
        <v>0</v>
      </c>
      <c r="GK51">
        <v>0</v>
      </c>
      <c r="GL51">
        <f t="shared" si="38"/>
        <v>0</v>
      </c>
      <c r="GM51">
        <f t="shared" si="39"/>
        <v>4.29</v>
      </c>
      <c r="GN51">
        <f t="shared" si="40"/>
        <v>0</v>
      </c>
      <c r="GO51">
        <f t="shared" si="41"/>
        <v>4.29</v>
      </c>
      <c r="GP51">
        <f t="shared" si="42"/>
        <v>0</v>
      </c>
      <c r="GR51">
        <v>0</v>
      </c>
      <c r="GS51">
        <v>0</v>
      </c>
      <c r="GT51">
        <v>0</v>
      </c>
      <c r="GU51" t="s">
        <v>3</v>
      </c>
      <c r="GV51">
        <f t="shared" si="43"/>
        <v>0</v>
      </c>
      <c r="GW51">
        <v>1</v>
      </c>
      <c r="GX51">
        <f t="shared" si="44"/>
        <v>0</v>
      </c>
      <c r="HA51">
        <v>0</v>
      </c>
      <c r="HB51">
        <v>0</v>
      </c>
      <c r="HC51">
        <f t="shared" si="45"/>
        <v>0</v>
      </c>
      <c r="HE51" t="s">
        <v>3</v>
      </c>
      <c r="HF51" t="s">
        <v>3</v>
      </c>
      <c r="HM51" t="s">
        <v>60</v>
      </c>
      <c r="HN51" t="s">
        <v>3</v>
      </c>
      <c r="HO51" t="s">
        <v>3</v>
      </c>
      <c r="HP51" t="s">
        <v>3</v>
      </c>
      <c r="HQ51" t="s">
        <v>3</v>
      </c>
      <c r="HS51">
        <v>0</v>
      </c>
      <c r="IK51">
        <v>0</v>
      </c>
    </row>
    <row r="52" spans="1:245">
      <c r="A52">
        <v>18</v>
      </c>
      <c r="B52">
        <v>1</v>
      </c>
      <c r="E52" t="s">
        <v>101</v>
      </c>
      <c r="F52" t="s">
        <v>102</v>
      </c>
      <c r="G52" t="s">
        <v>103</v>
      </c>
      <c r="H52" t="s">
        <v>32</v>
      </c>
      <c r="I52">
        <f>I50*J52</f>
        <v>1</v>
      </c>
      <c r="J52">
        <v>1</v>
      </c>
      <c r="K52">
        <v>1</v>
      </c>
      <c r="O52">
        <f t="shared" si="21"/>
        <v>0</v>
      </c>
      <c r="P52">
        <f t="shared" si="56"/>
        <v>0</v>
      </c>
      <c r="Q52">
        <f t="shared" si="58"/>
        <v>0</v>
      </c>
      <c r="R52">
        <f t="shared" si="59"/>
        <v>0</v>
      </c>
      <c r="S52">
        <f t="shared" si="23"/>
        <v>0</v>
      </c>
      <c r="T52">
        <f t="shared" si="24"/>
        <v>0</v>
      </c>
      <c r="U52">
        <f t="shared" si="25"/>
        <v>0</v>
      </c>
      <c r="V52">
        <f t="shared" si="26"/>
        <v>0</v>
      </c>
      <c r="W52">
        <f t="shared" si="27"/>
        <v>0</v>
      </c>
      <c r="X52">
        <f t="shared" si="60"/>
        <v>0</v>
      </c>
      <c r="Y52">
        <f t="shared" si="61"/>
        <v>0</v>
      </c>
      <c r="AA52">
        <v>76282491</v>
      </c>
      <c r="AB52">
        <f t="shared" si="28"/>
        <v>0</v>
      </c>
      <c r="AC52">
        <f t="shared" si="62"/>
        <v>0</v>
      </c>
      <c r="AD52">
        <f t="shared" si="63"/>
        <v>0</v>
      </c>
      <c r="AE52">
        <f t="shared" si="64"/>
        <v>0</v>
      </c>
      <c r="AF52">
        <f t="shared" si="65"/>
        <v>0</v>
      </c>
      <c r="AG52">
        <f t="shared" si="29"/>
        <v>0</v>
      </c>
      <c r="AH52">
        <f t="shared" si="66"/>
        <v>0</v>
      </c>
      <c r="AI52">
        <f t="shared" si="67"/>
        <v>0</v>
      </c>
      <c r="AJ52">
        <f t="shared" si="30"/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97</v>
      </c>
      <c r="AU52">
        <v>51</v>
      </c>
      <c r="AV52">
        <v>1</v>
      </c>
      <c r="AW52">
        <v>1</v>
      </c>
      <c r="AZ52">
        <v>1</v>
      </c>
      <c r="BA52">
        <v>1</v>
      </c>
      <c r="BB52">
        <v>1</v>
      </c>
      <c r="BC52">
        <v>1</v>
      </c>
      <c r="BD52" t="s">
        <v>3</v>
      </c>
      <c r="BE52" t="s">
        <v>3</v>
      </c>
      <c r="BF52" t="s">
        <v>3</v>
      </c>
      <c r="BG52" t="s">
        <v>3</v>
      </c>
      <c r="BH52">
        <v>3</v>
      </c>
      <c r="BI52">
        <v>2</v>
      </c>
      <c r="BJ52" t="s">
        <v>3</v>
      </c>
      <c r="BM52">
        <v>67</v>
      </c>
      <c r="BN52">
        <v>0</v>
      </c>
      <c r="BO52" t="s">
        <v>3</v>
      </c>
      <c r="BP52">
        <v>0</v>
      </c>
      <c r="BQ52">
        <v>40</v>
      </c>
      <c r="BR52">
        <v>0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 t="s">
        <v>3</v>
      </c>
      <c r="BZ52">
        <v>97</v>
      </c>
      <c r="CA52">
        <v>51</v>
      </c>
      <c r="CB52" t="s">
        <v>3</v>
      </c>
      <c r="CE52">
        <v>1566</v>
      </c>
      <c r="CF52">
        <v>0</v>
      </c>
      <c r="CG52">
        <v>0</v>
      </c>
      <c r="CM52">
        <v>0</v>
      </c>
      <c r="CN52" t="s">
        <v>454</v>
      </c>
      <c r="CO52">
        <v>0</v>
      </c>
      <c r="CP52">
        <f t="shared" si="31"/>
        <v>0</v>
      </c>
      <c r="CQ52">
        <f t="shared" si="57"/>
        <v>0</v>
      </c>
      <c r="CR52">
        <f t="shared" si="68"/>
        <v>0</v>
      </c>
      <c r="CS52">
        <f t="shared" si="69"/>
        <v>0</v>
      </c>
      <c r="CT52">
        <f t="shared" si="33"/>
        <v>0</v>
      </c>
      <c r="CU52">
        <f t="shared" si="34"/>
        <v>0</v>
      </c>
      <c r="CV52">
        <f t="shared" si="35"/>
        <v>0</v>
      </c>
      <c r="CW52">
        <f t="shared" si="36"/>
        <v>0</v>
      </c>
      <c r="CX52">
        <f t="shared" si="37"/>
        <v>0</v>
      </c>
      <c r="CY52">
        <f t="shared" si="70"/>
        <v>0</v>
      </c>
      <c r="CZ52">
        <f t="shared" si="71"/>
        <v>0</v>
      </c>
      <c r="DC52" t="s">
        <v>3</v>
      </c>
      <c r="DD52" t="s">
        <v>3</v>
      </c>
      <c r="DE52" t="s">
        <v>3</v>
      </c>
      <c r="DF52" t="s">
        <v>3</v>
      </c>
      <c r="DG52" t="s">
        <v>3</v>
      </c>
      <c r="DH52" t="s">
        <v>3</v>
      </c>
      <c r="DI52" t="s">
        <v>3</v>
      </c>
      <c r="DJ52" t="s">
        <v>3</v>
      </c>
      <c r="DK52" t="s">
        <v>3</v>
      </c>
      <c r="DL52" t="s">
        <v>3</v>
      </c>
      <c r="DM52" t="s">
        <v>3</v>
      </c>
      <c r="DN52">
        <v>0</v>
      </c>
      <c r="DO52">
        <v>0</v>
      </c>
      <c r="DP52">
        <v>1</v>
      </c>
      <c r="DQ52">
        <v>1</v>
      </c>
      <c r="DU52">
        <v>1010</v>
      </c>
      <c r="DV52" t="s">
        <v>32</v>
      </c>
      <c r="DW52" t="s">
        <v>32</v>
      </c>
      <c r="DX52">
        <v>1</v>
      </c>
      <c r="DZ52" t="s">
        <v>3</v>
      </c>
      <c r="EA52" t="s">
        <v>3</v>
      </c>
      <c r="EB52" t="s">
        <v>3</v>
      </c>
      <c r="EC52" t="s">
        <v>3</v>
      </c>
      <c r="EE52">
        <v>76282301</v>
      </c>
      <c r="EF52">
        <v>40</v>
      </c>
      <c r="EG52" t="s">
        <v>20</v>
      </c>
      <c r="EH52">
        <v>0</v>
      </c>
      <c r="EI52" t="s">
        <v>3</v>
      </c>
      <c r="EJ52">
        <v>2</v>
      </c>
      <c r="EK52">
        <v>67</v>
      </c>
      <c r="EL52" t="s">
        <v>21</v>
      </c>
      <c r="EM52" t="s">
        <v>22</v>
      </c>
      <c r="EO52" t="s">
        <v>62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FQ52">
        <v>0</v>
      </c>
      <c r="FR52">
        <v>0</v>
      </c>
      <c r="FS52">
        <v>0</v>
      </c>
      <c r="FX52">
        <v>97</v>
      </c>
      <c r="FY52">
        <v>51</v>
      </c>
      <c r="GA52" t="s">
        <v>3</v>
      </c>
      <c r="GD52">
        <v>1</v>
      </c>
      <c r="GF52">
        <v>273490821</v>
      </c>
      <c r="GG52">
        <v>2</v>
      </c>
      <c r="GH52">
        <v>0</v>
      </c>
      <c r="GI52">
        <v>-2</v>
      </c>
      <c r="GJ52">
        <v>0</v>
      </c>
      <c r="GK52">
        <v>0</v>
      </c>
      <c r="GL52">
        <f t="shared" si="38"/>
        <v>0</v>
      </c>
      <c r="GM52">
        <f t="shared" si="39"/>
        <v>0</v>
      </c>
      <c r="GN52">
        <f t="shared" si="40"/>
        <v>0</v>
      </c>
      <c r="GO52">
        <f t="shared" si="41"/>
        <v>0</v>
      </c>
      <c r="GP52">
        <f t="shared" si="42"/>
        <v>0</v>
      </c>
      <c r="GR52">
        <v>0</v>
      </c>
      <c r="GS52">
        <v>0</v>
      </c>
      <c r="GT52">
        <v>0</v>
      </c>
      <c r="GU52" t="s">
        <v>3</v>
      </c>
      <c r="GV52">
        <f t="shared" si="43"/>
        <v>0</v>
      </c>
      <c r="GW52">
        <v>1</v>
      </c>
      <c r="GX52">
        <f t="shared" si="44"/>
        <v>0</v>
      </c>
      <c r="HA52">
        <v>0</v>
      </c>
      <c r="HB52">
        <v>0</v>
      </c>
      <c r="HC52">
        <f t="shared" si="45"/>
        <v>0</v>
      </c>
      <c r="HE52" t="s">
        <v>3</v>
      </c>
      <c r="HF52" t="s">
        <v>3</v>
      </c>
      <c r="HM52" t="s">
        <v>60</v>
      </c>
      <c r="HN52" t="s">
        <v>3</v>
      </c>
      <c r="HO52" t="s">
        <v>3</v>
      </c>
      <c r="HP52" t="s">
        <v>3</v>
      </c>
      <c r="HQ52" t="s">
        <v>3</v>
      </c>
      <c r="HS52">
        <v>0</v>
      </c>
      <c r="IK52">
        <v>0</v>
      </c>
    </row>
    <row r="53" spans="1:245">
      <c r="A53">
        <v>18</v>
      </c>
      <c r="B53">
        <v>1</v>
      </c>
      <c r="E53" t="s">
        <v>104</v>
      </c>
      <c r="F53" t="s">
        <v>82</v>
      </c>
      <c r="G53" t="s">
        <v>83</v>
      </c>
      <c r="H53" t="s">
        <v>84</v>
      </c>
      <c r="I53">
        <f>I50*J53</f>
        <v>6.1000000000000004E-3</v>
      </c>
      <c r="J53">
        <v>6.1000000000000004E-3</v>
      </c>
      <c r="K53">
        <v>6.1000000000000004E-3</v>
      </c>
      <c r="O53">
        <f t="shared" si="21"/>
        <v>0</v>
      </c>
      <c r="P53">
        <f t="shared" si="56"/>
        <v>0</v>
      </c>
      <c r="Q53">
        <f t="shared" si="58"/>
        <v>0</v>
      </c>
      <c r="R53">
        <f t="shared" si="59"/>
        <v>0</v>
      </c>
      <c r="S53">
        <f t="shared" si="23"/>
        <v>0</v>
      </c>
      <c r="T53">
        <f t="shared" si="24"/>
        <v>0</v>
      </c>
      <c r="U53">
        <f t="shared" si="25"/>
        <v>0</v>
      </c>
      <c r="V53">
        <f t="shared" si="26"/>
        <v>0</v>
      </c>
      <c r="W53">
        <f t="shared" si="27"/>
        <v>0</v>
      </c>
      <c r="X53">
        <f t="shared" si="60"/>
        <v>0</v>
      </c>
      <c r="Y53">
        <f t="shared" si="61"/>
        <v>0</v>
      </c>
      <c r="AA53">
        <v>76282491</v>
      </c>
      <c r="AB53">
        <f t="shared" si="28"/>
        <v>0</v>
      </c>
      <c r="AC53">
        <f t="shared" si="62"/>
        <v>0</v>
      </c>
      <c r="AD53">
        <f t="shared" si="63"/>
        <v>0</v>
      </c>
      <c r="AE53">
        <f t="shared" si="64"/>
        <v>0</v>
      </c>
      <c r="AF53">
        <f t="shared" si="65"/>
        <v>0</v>
      </c>
      <c r="AG53">
        <f t="shared" si="29"/>
        <v>0</v>
      </c>
      <c r="AH53">
        <f t="shared" si="66"/>
        <v>0</v>
      </c>
      <c r="AI53">
        <f t="shared" si="67"/>
        <v>0</v>
      </c>
      <c r="AJ53">
        <f t="shared" si="30"/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97</v>
      </c>
      <c r="AU53">
        <v>51</v>
      </c>
      <c r="AV53">
        <v>1</v>
      </c>
      <c r="AW53">
        <v>1</v>
      </c>
      <c r="AZ53">
        <v>1</v>
      </c>
      <c r="BA53">
        <v>1</v>
      </c>
      <c r="BB53">
        <v>1</v>
      </c>
      <c r="BC53">
        <v>1</v>
      </c>
      <c r="BD53" t="s">
        <v>3</v>
      </c>
      <c r="BE53" t="s">
        <v>3</v>
      </c>
      <c r="BF53" t="s">
        <v>3</v>
      </c>
      <c r="BG53" t="s">
        <v>3</v>
      </c>
      <c r="BH53">
        <v>3</v>
      </c>
      <c r="BI53">
        <v>2</v>
      </c>
      <c r="BJ53" t="s">
        <v>3</v>
      </c>
      <c r="BM53">
        <v>67</v>
      </c>
      <c r="BN53">
        <v>0</v>
      </c>
      <c r="BO53" t="s">
        <v>3</v>
      </c>
      <c r="BP53">
        <v>0</v>
      </c>
      <c r="BQ53">
        <v>40</v>
      </c>
      <c r="BR53">
        <v>0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 t="s">
        <v>3</v>
      </c>
      <c r="BZ53">
        <v>97</v>
      </c>
      <c r="CA53">
        <v>51</v>
      </c>
      <c r="CB53" t="s">
        <v>3</v>
      </c>
      <c r="CE53">
        <v>1566</v>
      </c>
      <c r="CF53">
        <v>0</v>
      </c>
      <c r="CG53">
        <v>0</v>
      </c>
      <c r="CM53">
        <v>0</v>
      </c>
      <c r="CN53" t="s">
        <v>454</v>
      </c>
      <c r="CO53">
        <v>0</v>
      </c>
      <c r="CP53">
        <f t="shared" si="31"/>
        <v>0</v>
      </c>
      <c r="CQ53">
        <f t="shared" si="57"/>
        <v>0</v>
      </c>
      <c r="CR53">
        <f t="shared" si="68"/>
        <v>0</v>
      </c>
      <c r="CS53">
        <f t="shared" si="69"/>
        <v>0</v>
      </c>
      <c r="CT53">
        <f t="shared" si="33"/>
        <v>0</v>
      </c>
      <c r="CU53">
        <f t="shared" si="34"/>
        <v>0</v>
      </c>
      <c r="CV53">
        <f t="shared" si="35"/>
        <v>0</v>
      </c>
      <c r="CW53">
        <f t="shared" si="36"/>
        <v>0</v>
      </c>
      <c r="CX53">
        <f t="shared" si="37"/>
        <v>0</v>
      </c>
      <c r="CY53">
        <f t="shared" si="70"/>
        <v>0</v>
      </c>
      <c r="CZ53">
        <f t="shared" si="71"/>
        <v>0</v>
      </c>
      <c r="DC53" t="s">
        <v>3</v>
      </c>
      <c r="DD53" t="s">
        <v>3</v>
      </c>
      <c r="DE53" t="s">
        <v>3</v>
      </c>
      <c r="DF53" t="s">
        <v>3</v>
      </c>
      <c r="DG53" t="s">
        <v>3</v>
      </c>
      <c r="DH53" t="s">
        <v>3</v>
      </c>
      <c r="DI53" t="s">
        <v>3</v>
      </c>
      <c r="DJ53" t="s">
        <v>3</v>
      </c>
      <c r="DK53" t="s">
        <v>3</v>
      </c>
      <c r="DL53" t="s">
        <v>3</v>
      </c>
      <c r="DM53" t="s">
        <v>3</v>
      </c>
      <c r="DN53">
        <v>0</v>
      </c>
      <c r="DO53">
        <v>0</v>
      </c>
      <c r="DP53">
        <v>1</v>
      </c>
      <c r="DQ53">
        <v>1</v>
      </c>
      <c r="DU53">
        <v>1010</v>
      </c>
      <c r="DV53" t="s">
        <v>84</v>
      </c>
      <c r="DW53" t="s">
        <v>84</v>
      </c>
      <c r="DX53">
        <v>1000</v>
      </c>
      <c r="DZ53" t="s">
        <v>3</v>
      </c>
      <c r="EA53" t="s">
        <v>3</v>
      </c>
      <c r="EB53" t="s">
        <v>3</v>
      </c>
      <c r="EC53" t="s">
        <v>3</v>
      </c>
      <c r="EE53">
        <v>76282301</v>
      </c>
      <c r="EF53">
        <v>40</v>
      </c>
      <c r="EG53" t="s">
        <v>20</v>
      </c>
      <c r="EH53">
        <v>0</v>
      </c>
      <c r="EI53" t="s">
        <v>3</v>
      </c>
      <c r="EJ53">
        <v>2</v>
      </c>
      <c r="EK53">
        <v>67</v>
      </c>
      <c r="EL53" t="s">
        <v>21</v>
      </c>
      <c r="EM53" t="s">
        <v>22</v>
      </c>
      <c r="EO53" t="s">
        <v>62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FQ53">
        <v>0</v>
      </c>
      <c r="FR53">
        <v>0</v>
      </c>
      <c r="FS53">
        <v>0</v>
      </c>
      <c r="FX53">
        <v>97</v>
      </c>
      <c r="FY53">
        <v>51</v>
      </c>
      <c r="GA53" t="s">
        <v>3</v>
      </c>
      <c r="GD53">
        <v>1</v>
      </c>
      <c r="GF53">
        <v>-22646038</v>
      </c>
      <c r="GG53">
        <v>2</v>
      </c>
      <c r="GH53">
        <v>0</v>
      </c>
      <c r="GI53">
        <v>-2</v>
      </c>
      <c r="GJ53">
        <v>0</v>
      </c>
      <c r="GK53">
        <v>0</v>
      </c>
      <c r="GL53">
        <f t="shared" si="38"/>
        <v>0</v>
      </c>
      <c r="GM53">
        <f t="shared" si="39"/>
        <v>0</v>
      </c>
      <c r="GN53">
        <f t="shared" si="40"/>
        <v>0</v>
      </c>
      <c r="GO53">
        <f t="shared" si="41"/>
        <v>0</v>
      </c>
      <c r="GP53">
        <f t="shared" si="42"/>
        <v>0</v>
      </c>
      <c r="GR53">
        <v>0</v>
      </c>
      <c r="GS53">
        <v>0</v>
      </c>
      <c r="GT53">
        <v>0</v>
      </c>
      <c r="GU53" t="s">
        <v>3</v>
      </c>
      <c r="GV53">
        <f t="shared" si="43"/>
        <v>0</v>
      </c>
      <c r="GW53">
        <v>1</v>
      </c>
      <c r="GX53">
        <f t="shared" si="44"/>
        <v>0</v>
      </c>
      <c r="HA53">
        <v>0</v>
      </c>
      <c r="HB53">
        <v>0</v>
      </c>
      <c r="HC53">
        <f t="shared" si="45"/>
        <v>0</v>
      </c>
      <c r="HE53" t="s">
        <v>3</v>
      </c>
      <c r="HF53" t="s">
        <v>3</v>
      </c>
      <c r="HM53" t="s">
        <v>60</v>
      </c>
      <c r="HN53" t="s">
        <v>3</v>
      </c>
      <c r="HO53" t="s">
        <v>3</v>
      </c>
      <c r="HP53" t="s">
        <v>3</v>
      </c>
      <c r="HQ53" t="s">
        <v>3</v>
      </c>
      <c r="HS53">
        <v>0</v>
      </c>
      <c r="IK53">
        <v>0</v>
      </c>
    </row>
    <row r="54" spans="1:245">
      <c r="A54">
        <v>18</v>
      </c>
      <c r="B54">
        <v>1</v>
      </c>
      <c r="E54" t="s">
        <v>105</v>
      </c>
      <c r="F54" t="s">
        <v>37</v>
      </c>
      <c r="G54" t="s">
        <v>38</v>
      </c>
      <c r="H54" t="s">
        <v>39</v>
      </c>
      <c r="I54">
        <f>I50*J54</f>
        <v>2E-3</v>
      </c>
      <c r="J54">
        <v>2E-3</v>
      </c>
      <c r="K54">
        <v>2E-3</v>
      </c>
      <c r="O54">
        <f t="shared" si="21"/>
        <v>0</v>
      </c>
      <c r="P54">
        <f t="shared" si="56"/>
        <v>0</v>
      </c>
      <c r="Q54">
        <f t="shared" si="58"/>
        <v>0</v>
      </c>
      <c r="R54">
        <f t="shared" si="59"/>
        <v>0</v>
      </c>
      <c r="S54">
        <f t="shared" si="23"/>
        <v>0</v>
      </c>
      <c r="T54">
        <f t="shared" si="24"/>
        <v>0</v>
      </c>
      <c r="U54">
        <f t="shared" si="25"/>
        <v>0</v>
      </c>
      <c r="V54">
        <f t="shared" si="26"/>
        <v>0</v>
      </c>
      <c r="W54">
        <f t="shared" si="27"/>
        <v>0</v>
      </c>
      <c r="X54">
        <f t="shared" si="60"/>
        <v>0</v>
      </c>
      <c r="Y54">
        <f t="shared" si="61"/>
        <v>0</v>
      </c>
      <c r="AA54">
        <v>76282491</v>
      </c>
      <c r="AB54">
        <f t="shared" si="28"/>
        <v>0</v>
      </c>
      <c r="AC54">
        <f t="shared" si="62"/>
        <v>0</v>
      </c>
      <c r="AD54">
        <f t="shared" si="63"/>
        <v>0</v>
      </c>
      <c r="AE54">
        <f t="shared" si="64"/>
        <v>0</v>
      </c>
      <c r="AF54">
        <f t="shared" si="65"/>
        <v>0</v>
      </c>
      <c r="AG54">
        <f t="shared" si="29"/>
        <v>0</v>
      </c>
      <c r="AH54">
        <f t="shared" si="66"/>
        <v>0</v>
      </c>
      <c r="AI54">
        <f t="shared" si="67"/>
        <v>0</v>
      </c>
      <c r="AJ54">
        <f t="shared" si="30"/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97</v>
      </c>
      <c r="AU54">
        <v>51</v>
      </c>
      <c r="AV54">
        <v>1</v>
      </c>
      <c r="AW54">
        <v>1</v>
      </c>
      <c r="AZ54">
        <v>1</v>
      </c>
      <c r="BA54">
        <v>1</v>
      </c>
      <c r="BB54">
        <v>1</v>
      </c>
      <c r="BC54">
        <v>1</v>
      </c>
      <c r="BD54" t="s">
        <v>3</v>
      </c>
      <c r="BE54" t="s">
        <v>3</v>
      </c>
      <c r="BF54" t="s">
        <v>3</v>
      </c>
      <c r="BG54" t="s">
        <v>3</v>
      </c>
      <c r="BH54">
        <v>3</v>
      </c>
      <c r="BI54">
        <v>2</v>
      </c>
      <c r="BJ54" t="s">
        <v>3</v>
      </c>
      <c r="BM54">
        <v>67</v>
      </c>
      <c r="BN54">
        <v>0</v>
      </c>
      <c r="BO54" t="s">
        <v>3</v>
      </c>
      <c r="BP54">
        <v>0</v>
      </c>
      <c r="BQ54">
        <v>40</v>
      </c>
      <c r="BR54">
        <v>0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 t="s">
        <v>3</v>
      </c>
      <c r="BZ54">
        <v>97</v>
      </c>
      <c r="CA54">
        <v>51</v>
      </c>
      <c r="CB54" t="s">
        <v>3</v>
      </c>
      <c r="CE54">
        <v>1566</v>
      </c>
      <c r="CF54">
        <v>0</v>
      </c>
      <c r="CG54">
        <v>0</v>
      </c>
      <c r="CM54">
        <v>0</v>
      </c>
      <c r="CN54" t="s">
        <v>454</v>
      </c>
      <c r="CO54">
        <v>0</v>
      </c>
      <c r="CP54">
        <f t="shared" si="31"/>
        <v>0</v>
      </c>
      <c r="CQ54">
        <f t="shared" si="57"/>
        <v>0</v>
      </c>
      <c r="CR54">
        <f t="shared" si="68"/>
        <v>0</v>
      </c>
      <c r="CS54">
        <f t="shared" si="69"/>
        <v>0</v>
      </c>
      <c r="CT54">
        <f t="shared" si="33"/>
        <v>0</v>
      </c>
      <c r="CU54">
        <f t="shared" si="34"/>
        <v>0</v>
      </c>
      <c r="CV54">
        <f t="shared" si="35"/>
        <v>0</v>
      </c>
      <c r="CW54">
        <f t="shared" si="36"/>
        <v>0</v>
      </c>
      <c r="CX54">
        <f t="shared" si="37"/>
        <v>0</v>
      </c>
      <c r="CY54">
        <f t="shared" si="70"/>
        <v>0</v>
      </c>
      <c r="CZ54">
        <f t="shared" si="71"/>
        <v>0</v>
      </c>
      <c r="DC54" t="s">
        <v>3</v>
      </c>
      <c r="DD54" t="s">
        <v>3</v>
      </c>
      <c r="DE54" t="s">
        <v>3</v>
      </c>
      <c r="DF54" t="s">
        <v>3</v>
      </c>
      <c r="DG54" t="s">
        <v>3</v>
      </c>
      <c r="DH54" t="s">
        <v>3</v>
      </c>
      <c r="DI54" t="s">
        <v>3</v>
      </c>
      <c r="DJ54" t="s">
        <v>3</v>
      </c>
      <c r="DK54" t="s">
        <v>3</v>
      </c>
      <c r="DL54" t="s">
        <v>3</v>
      </c>
      <c r="DM54" t="s">
        <v>3</v>
      </c>
      <c r="DN54">
        <v>0</v>
      </c>
      <c r="DO54">
        <v>0</v>
      </c>
      <c r="DP54">
        <v>1</v>
      </c>
      <c r="DQ54">
        <v>1</v>
      </c>
      <c r="DU54">
        <v>1009</v>
      </c>
      <c r="DV54" t="s">
        <v>39</v>
      </c>
      <c r="DW54" t="s">
        <v>39</v>
      </c>
      <c r="DX54">
        <v>1000</v>
      </c>
      <c r="DZ54" t="s">
        <v>3</v>
      </c>
      <c r="EA54" t="s">
        <v>3</v>
      </c>
      <c r="EB54" t="s">
        <v>3</v>
      </c>
      <c r="EC54" t="s">
        <v>3</v>
      </c>
      <c r="EE54">
        <v>76282301</v>
      </c>
      <c r="EF54">
        <v>40</v>
      </c>
      <c r="EG54" t="s">
        <v>20</v>
      </c>
      <c r="EH54">
        <v>0</v>
      </c>
      <c r="EI54" t="s">
        <v>3</v>
      </c>
      <c r="EJ54">
        <v>2</v>
      </c>
      <c r="EK54">
        <v>67</v>
      </c>
      <c r="EL54" t="s">
        <v>21</v>
      </c>
      <c r="EM54" t="s">
        <v>22</v>
      </c>
      <c r="EO54" t="s">
        <v>62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FQ54">
        <v>0</v>
      </c>
      <c r="FR54">
        <v>0</v>
      </c>
      <c r="FS54">
        <v>0</v>
      </c>
      <c r="FX54">
        <v>97</v>
      </c>
      <c r="FY54">
        <v>51</v>
      </c>
      <c r="GA54" t="s">
        <v>3</v>
      </c>
      <c r="GD54">
        <v>1</v>
      </c>
      <c r="GF54">
        <v>-21282126</v>
      </c>
      <c r="GG54">
        <v>2</v>
      </c>
      <c r="GH54">
        <v>0</v>
      </c>
      <c r="GI54">
        <v>-2</v>
      </c>
      <c r="GJ54">
        <v>0</v>
      </c>
      <c r="GK54">
        <v>0</v>
      </c>
      <c r="GL54">
        <f t="shared" si="38"/>
        <v>0</v>
      </c>
      <c r="GM54">
        <f t="shared" si="39"/>
        <v>0</v>
      </c>
      <c r="GN54">
        <f t="shared" si="40"/>
        <v>0</v>
      </c>
      <c r="GO54">
        <f t="shared" si="41"/>
        <v>0</v>
      </c>
      <c r="GP54">
        <f t="shared" si="42"/>
        <v>0</v>
      </c>
      <c r="GR54">
        <v>0</v>
      </c>
      <c r="GS54">
        <v>0</v>
      </c>
      <c r="GT54">
        <v>0</v>
      </c>
      <c r="GU54" t="s">
        <v>3</v>
      </c>
      <c r="GV54">
        <f t="shared" si="43"/>
        <v>0</v>
      </c>
      <c r="GW54">
        <v>1</v>
      </c>
      <c r="GX54">
        <f t="shared" si="44"/>
        <v>0</v>
      </c>
      <c r="HA54">
        <v>0</v>
      </c>
      <c r="HB54">
        <v>0</v>
      </c>
      <c r="HC54">
        <f t="shared" si="45"/>
        <v>0</v>
      </c>
      <c r="HE54" t="s">
        <v>3</v>
      </c>
      <c r="HF54" t="s">
        <v>3</v>
      </c>
      <c r="HM54" t="s">
        <v>60</v>
      </c>
      <c r="HN54" t="s">
        <v>3</v>
      </c>
      <c r="HO54" t="s">
        <v>3</v>
      </c>
      <c r="HP54" t="s">
        <v>3</v>
      </c>
      <c r="HQ54" t="s">
        <v>3</v>
      </c>
      <c r="HS54">
        <v>0</v>
      </c>
      <c r="IK54">
        <v>0</v>
      </c>
    </row>
    <row r="55" spans="1:245">
      <c r="A55">
        <v>17</v>
      </c>
      <c r="B55">
        <v>1</v>
      </c>
      <c r="E55" t="s">
        <v>106</v>
      </c>
      <c r="F55" t="s">
        <v>51</v>
      </c>
      <c r="G55" t="s">
        <v>107</v>
      </c>
      <c r="H55" t="s">
        <v>32</v>
      </c>
      <c r="I55">
        <v>1</v>
      </c>
      <c r="J55">
        <v>0</v>
      </c>
      <c r="K55">
        <v>1</v>
      </c>
      <c r="O55">
        <f t="shared" si="21"/>
        <v>3920.49</v>
      </c>
      <c r="P55">
        <f>ROUND((ROUND((AC55*I55),2)*BC55),2)</f>
        <v>3920.49</v>
      </c>
      <c r="Q55">
        <f t="shared" si="58"/>
        <v>0</v>
      </c>
      <c r="R55">
        <f t="shared" si="59"/>
        <v>0</v>
      </c>
      <c r="S55">
        <f t="shared" si="23"/>
        <v>0</v>
      </c>
      <c r="T55">
        <f t="shared" si="24"/>
        <v>0</v>
      </c>
      <c r="U55">
        <f t="shared" si="25"/>
        <v>0</v>
      </c>
      <c r="V55">
        <f t="shared" si="26"/>
        <v>0</v>
      </c>
      <c r="W55">
        <f t="shared" si="27"/>
        <v>0</v>
      </c>
      <c r="X55">
        <f t="shared" si="60"/>
        <v>0</v>
      </c>
      <c r="Y55">
        <f t="shared" si="61"/>
        <v>0</v>
      </c>
      <c r="AA55">
        <v>76282491</v>
      </c>
      <c r="AB55">
        <f t="shared" si="28"/>
        <v>3920.49</v>
      </c>
      <c r="AC55">
        <f t="shared" si="62"/>
        <v>3920.49</v>
      </c>
      <c r="AD55">
        <f t="shared" si="63"/>
        <v>0</v>
      </c>
      <c r="AE55">
        <f t="shared" si="64"/>
        <v>0</v>
      </c>
      <c r="AF55">
        <f t="shared" si="65"/>
        <v>0</v>
      </c>
      <c r="AG55">
        <f t="shared" si="29"/>
        <v>0</v>
      </c>
      <c r="AH55">
        <f t="shared" si="66"/>
        <v>0</v>
      </c>
      <c r="AI55">
        <f t="shared" si="67"/>
        <v>0</v>
      </c>
      <c r="AJ55">
        <f t="shared" si="30"/>
        <v>0</v>
      </c>
      <c r="AK55">
        <v>3920.49</v>
      </c>
      <c r="AL55">
        <v>3920.49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1</v>
      </c>
      <c r="AW55">
        <v>1</v>
      </c>
      <c r="AZ55">
        <v>1</v>
      </c>
      <c r="BA55">
        <v>1</v>
      </c>
      <c r="BB55">
        <v>1</v>
      </c>
      <c r="BC55">
        <v>1</v>
      </c>
      <c r="BD55" t="s">
        <v>3</v>
      </c>
      <c r="BE55" t="s">
        <v>3</v>
      </c>
      <c r="BF55" t="s">
        <v>3</v>
      </c>
      <c r="BG55" t="s">
        <v>3</v>
      </c>
      <c r="BH55">
        <v>3</v>
      </c>
      <c r="BI55">
        <v>3</v>
      </c>
      <c r="BJ55" t="s">
        <v>3</v>
      </c>
      <c r="BM55">
        <v>746</v>
      </c>
      <c r="BN55">
        <v>0</v>
      </c>
      <c r="BO55" t="s">
        <v>3</v>
      </c>
      <c r="BP55">
        <v>0</v>
      </c>
      <c r="BQ55">
        <v>130</v>
      </c>
      <c r="BR55">
        <v>0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 t="s">
        <v>3</v>
      </c>
      <c r="BZ55">
        <v>0</v>
      </c>
      <c r="CA55">
        <v>0</v>
      </c>
      <c r="CB55" t="s">
        <v>3</v>
      </c>
      <c r="CE55">
        <v>1566</v>
      </c>
      <c r="CF55">
        <v>0</v>
      </c>
      <c r="CG55">
        <v>0</v>
      </c>
      <c r="CM55">
        <v>0</v>
      </c>
      <c r="CN55" t="s">
        <v>3</v>
      </c>
      <c r="CO55">
        <v>0</v>
      </c>
      <c r="CP55">
        <f t="shared" si="31"/>
        <v>3920.49</v>
      </c>
      <c r="CQ55">
        <f>ROUND((ROUND((AC55*1),2)*BC55),2)</f>
        <v>3920.49</v>
      </c>
      <c r="CR55">
        <f t="shared" si="68"/>
        <v>0</v>
      </c>
      <c r="CS55">
        <f t="shared" si="69"/>
        <v>0</v>
      </c>
      <c r="CT55">
        <f t="shared" si="33"/>
        <v>0</v>
      </c>
      <c r="CU55">
        <f t="shared" si="34"/>
        <v>0</v>
      </c>
      <c r="CV55">
        <f t="shared" si="35"/>
        <v>0</v>
      </c>
      <c r="CW55">
        <f t="shared" si="36"/>
        <v>0</v>
      </c>
      <c r="CX55">
        <f t="shared" si="37"/>
        <v>0</v>
      </c>
      <c r="CY55">
        <f t="shared" si="70"/>
        <v>0</v>
      </c>
      <c r="CZ55">
        <f t="shared" si="71"/>
        <v>0</v>
      </c>
      <c r="DC55" t="s">
        <v>3</v>
      </c>
      <c r="DD55" t="s">
        <v>3</v>
      </c>
      <c r="DE55" t="s">
        <v>3</v>
      </c>
      <c r="DF55" t="s">
        <v>3</v>
      </c>
      <c r="DG55" t="s">
        <v>3</v>
      </c>
      <c r="DH55" t="s">
        <v>3</v>
      </c>
      <c r="DI55" t="s">
        <v>3</v>
      </c>
      <c r="DJ55" t="s">
        <v>3</v>
      </c>
      <c r="DK55" t="s">
        <v>3</v>
      </c>
      <c r="DL55" t="s">
        <v>3</v>
      </c>
      <c r="DM55" t="s">
        <v>3</v>
      </c>
      <c r="DN55">
        <v>0</v>
      </c>
      <c r="DO55">
        <v>0</v>
      </c>
      <c r="DP55">
        <v>1</v>
      </c>
      <c r="DQ55">
        <v>1</v>
      </c>
      <c r="DU55">
        <v>1010</v>
      </c>
      <c r="DV55" t="s">
        <v>32</v>
      </c>
      <c r="DW55" t="s">
        <v>32</v>
      </c>
      <c r="DX55">
        <v>1</v>
      </c>
      <c r="DZ55" t="s">
        <v>3</v>
      </c>
      <c r="EA55" t="s">
        <v>3</v>
      </c>
      <c r="EB55" t="s">
        <v>3</v>
      </c>
      <c r="EC55" t="s">
        <v>3</v>
      </c>
      <c r="EE55">
        <v>76282427</v>
      </c>
      <c r="EF55">
        <v>130</v>
      </c>
      <c r="EG55" t="s">
        <v>53</v>
      </c>
      <c r="EH55">
        <v>0</v>
      </c>
      <c r="EI55" t="s">
        <v>3</v>
      </c>
      <c r="EJ55">
        <v>3</v>
      </c>
      <c r="EK55">
        <v>746</v>
      </c>
      <c r="EL55" t="s">
        <v>54</v>
      </c>
      <c r="EM55" t="s">
        <v>55</v>
      </c>
      <c r="EO55" t="s">
        <v>3</v>
      </c>
      <c r="EQ55">
        <v>131072</v>
      </c>
      <c r="ER55">
        <v>3920.49</v>
      </c>
      <c r="ES55">
        <v>3920.49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5</v>
      </c>
      <c r="FC55">
        <v>0</v>
      </c>
      <c r="FD55">
        <v>18</v>
      </c>
      <c r="FF55">
        <v>3874</v>
      </c>
      <c r="FQ55">
        <v>0</v>
      </c>
      <c r="FR55">
        <f>P55</f>
        <v>3920.49</v>
      </c>
      <c r="FS55">
        <v>0</v>
      </c>
      <c r="FX55">
        <v>0</v>
      </c>
      <c r="FY55">
        <v>0</v>
      </c>
      <c r="GA55" t="s">
        <v>108</v>
      </c>
      <c r="GD55">
        <v>1</v>
      </c>
      <c r="GF55">
        <v>137098916</v>
      </c>
      <c r="GG55">
        <v>2</v>
      </c>
      <c r="GH55">
        <v>3</v>
      </c>
      <c r="GI55">
        <v>-2</v>
      </c>
      <c r="GJ55">
        <v>0</v>
      </c>
      <c r="GK55">
        <v>0</v>
      </c>
      <c r="GL55">
        <f t="shared" si="38"/>
        <v>0</v>
      </c>
      <c r="GM55">
        <f t="shared" si="39"/>
        <v>3920.49</v>
      </c>
      <c r="GN55">
        <f t="shared" si="40"/>
        <v>0</v>
      </c>
      <c r="GO55">
        <f t="shared" si="41"/>
        <v>0</v>
      </c>
      <c r="GP55">
        <f t="shared" si="42"/>
        <v>0</v>
      </c>
      <c r="GR55">
        <v>1</v>
      </c>
      <c r="GS55">
        <v>1</v>
      </c>
      <c r="GT55">
        <v>0</v>
      </c>
      <c r="GU55" t="s">
        <v>3</v>
      </c>
      <c r="GV55">
        <f t="shared" si="43"/>
        <v>0</v>
      </c>
      <c r="GW55">
        <v>1</v>
      </c>
      <c r="GX55">
        <f t="shared" si="44"/>
        <v>0</v>
      </c>
      <c r="HA55">
        <v>0</v>
      </c>
      <c r="HB55">
        <v>0</v>
      </c>
      <c r="HC55">
        <f t="shared" si="45"/>
        <v>0</v>
      </c>
      <c r="HE55" t="s">
        <v>57</v>
      </c>
      <c r="HF55" t="s">
        <v>29</v>
      </c>
      <c r="HM55" t="s">
        <v>3</v>
      </c>
      <c r="HN55" t="s">
        <v>3</v>
      </c>
      <c r="HO55" t="s">
        <v>3</v>
      </c>
      <c r="HP55" t="s">
        <v>3</v>
      </c>
      <c r="HQ55" t="s">
        <v>3</v>
      </c>
      <c r="HS55">
        <v>0</v>
      </c>
      <c r="IK55">
        <v>0</v>
      </c>
    </row>
    <row r="56" spans="1:245">
      <c r="A56">
        <v>17</v>
      </c>
      <c r="B56">
        <v>1</v>
      </c>
      <c r="E56" t="s">
        <v>109</v>
      </c>
      <c r="F56" t="s">
        <v>110</v>
      </c>
      <c r="G56" t="s">
        <v>111</v>
      </c>
      <c r="H56" t="s">
        <v>16</v>
      </c>
      <c r="I56">
        <v>11</v>
      </c>
      <c r="J56">
        <v>0</v>
      </c>
      <c r="K56">
        <v>11</v>
      </c>
      <c r="O56">
        <f t="shared" si="21"/>
        <v>11252.23</v>
      </c>
      <c r="P56">
        <f>ROUND((ROUND((AC56*AW56*I56),2)*BC56),2)</f>
        <v>0</v>
      </c>
      <c r="Q56">
        <f t="shared" si="58"/>
        <v>0</v>
      </c>
      <c r="R56">
        <f t="shared" si="59"/>
        <v>0</v>
      </c>
      <c r="S56">
        <f t="shared" si="23"/>
        <v>11252.23</v>
      </c>
      <c r="T56">
        <f t="shared" si="24"/>
        <v>0</v>
      </c>
      <c r="U56">
        <f t="shared" si="25"/>
        <v>15.84</v>
      </c>
      <c r="V56">
        <f t="shared" si="26"/>
        <v>0</v>
      </c>
      <c r="W56">
        <f t="shared" si="27"/>
        <v>0</v>
      </c>
      <c r="X56">
        <f t="shared" si="60"/>
        <v>8326.65</v>
      </c>
      <c r="Y56">
        <f t="shared" si="61"/>
        <v>4050.8</v>
      </c>
      <c r="AA56">
        <v>76282491</v>
      </c>
      <c r="AB56">
        <f t="shared" si="28"/>
        <v>17.71</v>
      </c>
      <c r="AC56">
        <f t="shared" si="62"/>
        <v>0</v>
      </c>
      <c r="AD56">
        <f t="shared" si="63"/>
        <v>0</v>
      </c>
      <c r="AE56">
        <f t="shared" si="64"/>
        <v>0</v>
      </c>
      <c r="AF56">
        <f t="shared" si="65"/>
        <v>17.71</v>
      </c>
      <c r="AG56">
        <f t="shared" si="29"/>
        <v>0</v>
      </c>
      <c r="AH56">
        <f t="shared" si="66"/>
        <v>1.44</v>
      </c>
      <c r="AI56">
        <f t="shared" si="67"/>
        <v>0</v>
      </c>
      <c r="AJ56">
        <f t="shared" si="30"/>
        <v>0</v>
      </c>
      <c r="AK56">
        <v>17.71</v>
      </c>
      <c r="AL56">
        <v>0</v>
      </c>
      <c r="AM56">
        <v>0</v>
      </c>
      <c r="AN56">
        <v>0</v>
      </c>
      <c r="AO56">
        <v>17.71</v>
      </c>
      <c r="AP56">
        <v>0</v>
      </c>
      <c r="AQ56">
        <v>1.44</v>
      </c>
      <c r="AR56">
        <v>0</v>
      </c>
      <c r="AS56">
        <v>0</v>
      </c>
      <c r="AT56">
        <v>74</v>
      </c>
      <c r="AU56">
        <v>36</v>
      </c>
      <c r="AV56">
        <v>1</v>
      </c>
      <c r="AW56">
        <v>1</v>
      </c>
      <c r="AZ56">
        <v>1</v>
      </c>
      <c r="BA56">
        <v>57.76</v>
      </c>
      <c r="BB56">
        <v>1</v>
      </c>
      <c r="BC56">
        <v>1</v>
      </c>
      <c r="BD56" t="s">
        <v>3</v>
      </c>
      <c r="BE56" t="s">
        <v>3</v>
      </c>
      <c r="BF56" t="s">
        <v>3</v>
      </c>
      <c r="BG56" t="s">
        <v>3</v>
      </c>
      <c r="BH56">
        <v>0</v>
      </c>
      <c r="BI56">
        <v>4</v>
      </c>
      <c r="BJ56" t="s">
        <v>112</v>
      </c>
      <c r="BM56">
        <v>86</v>
      </c>
      <c r="BN56">
        <v>0</v>
      </c>
      <c r="BO56" t="s">
        <v>3</v>
      </c>
      <c r="BP56">
        <v>0</v>
      </c>
      <c r="BQ56">
        <v>50</v>
      </c>
      <c r="BR56">
        <v>0</v>
      </c>
      <c r="BS56">
        <v>57.76</v>
      </c>
      <c r="BT56">
        <v>1</v>
      </c>
      <c r="BU56">
        <v>1</v>
      </c>
      <c r="BV56">
        <v>1</v>
      </c>
      <c r="BW56">
        <v>1</v>
      </c>
      <c r="BX56">
        <v>1</v>
      </c>
      <c r="BY56" t="s">
        <v>3</v>
      </c>
      <c r="BZ56">
        <v>74</v>
      </c>
      <c r="CA56">
        <v>36</v>
      </c>
      <c r="CB56" t="s">
        <v>3</v>
      </c>
      <c r="CE56">
        <v>1566</v>
      </c>
      <c r="CF56">
        <v>0</v>
      </c>
      <c r="CG56">
        <v>0</v>
      </c>
      <c r="CM56">
        <v>0</v>
      </c>
      <c r="CN56" t="s">
        <v>3</v>
      </c>
      <c r="CO56">
        <v>0</v>
      </c>
      <c r="CP56">
        <f t="shared" si="31"/>
        <v>11252.23</v>
      </c>
      <c r="CQ56">
        <f>ROUND((ROUND((AC56*AW56*1),2)*BC56),2)</f>
        <v>0</v>
      </c>
      <c r="CR56">
        <f t="shared" si="68"/>
        <v>0</v>
      </c>
      <c r="CS56">
        <f t="shared" si="69"/>
        <v>0</v>
      </c>
      <c r="CT56">
        <f t="shared" si="33"/>
        <v>1022.93</v>
      </c>
      <c r="CU56">
        <f t="shared" si="34"/>
        <v>0</v>
      </c>
      <c r="CV56">
        <f t="shared" si="35"/>
        <v>1.44</v>
      </c>
      <c r="CW56">
        <f t="shared" si="36"/>
        <v>0</v>
      </c>
      <c r="CX56">
        <f t="shared" si="37"/>
        <v>0</v>
      </c>
      <c r="CY56">
        <f t="shared" si="70"/>
        <v>8326.65</v>
      </c>
      <c r="CZ56">
        <f t="shared" si="71"/>
        <v>4050.8</v>
      </c>
      <c r="DC56" t="s">
        <v>3</v>
      </c>
      <c r="DD56" t="s">
        <v>3</v>
      </c>
      <c r="DE56" t="s">
        <v>3</v>
      </c>
      <c r="DF56" t="s">
        <v>3</v>
      </c>
      <c r="DG56" t="s">
        <v>3</v>
      </c>
      <c r="DH56" t="s">
        <v>3</v>
      </c>
      <c r="DI56" t="s">
        <v>3</v>
      </c>
      <c r="DJ56" t="s">
        <v>3</v>
      </c>
      <c r="DK56" t="s">
        <v>3</v>
      </c>
      <c r="DL56" t="s">
        <v>3</v>
      </c>
      <c r="DM56" t="s">
        <v>3</v>
      </c>
      <c r="DN56">
        <v>0</v>
      </c>
      <c r="DO56">
        <v>0</v>
      </c>
      <c r="DP56">
        <v>1</v>
      </c>
      <c r="DQ56">
        <v>1</v>
      </c>
      <c r="DU56">
        <v>1013</v>
      </c>
      <c r="DV56" t="s">
        <v>16</v>
      </c>
      <c r="DW56" t="s">
        <v>16</v>
      </c>
      <c r="DX56">
        <v>1</v>
      </c>
      <c r="DZ56" t="s">
        <v>3</v>
      </c>
      <c r="EA56" t="s">
        <v>3</v>
      </c>
      <c r="EB56" t="s">
        <v>3</v>
      </c>
      <c r="EC56" t="s">
        <v>3</v>
      </c>
      <c r="EE56">
        <v>76282320</v>
      </c>
      <c r="EF56">
        <v>50</v>
      </c>
      <c r="EG56" t="s">
        <v>113</v>
      </c>
      <c r="EH56">
        <v>0</v>
      </c>
      <c r="EI56" t="s">
        <v>3</v>
      </c>
      <c r="EJ56">
        <v>4</v>
      </c>
      <c r="EK56">
        <v>86</v>
      </c>
      <c r="EL56" t="s">
        <v>114</v>
      </c>
      <c r="EM56" t="s">
        <v>115</v>
      </c>
      <c r="EO56" t="s">
        <v>3</v>
      </c>
      <c r="EQ56">
        <v>131072</v>
      </c>
      <c r="ER56">
        <v>17.71</v>
      </c>
      <c r="ES56">
        <v>0</v>
      </c>
      <c r="ET56">
        <v>0</v>
      </c>
      <c r="EU56">
        <v>0</v>
      </c>
      <c r="EV56">
        <v>17.71</v>
      </c>
      <c r="EW56">
        <v>1.44</v>
      </c>
      <c r="EX56">
        <v>0</v>
      </c>
      <c r="EY56">
        <v>0</v>
      </c>
      <c r="FQ56">
        <v>0</v>
      </c>
      <c r="FR56">
        <v>0</v>
      </c>
      <c r="FS56">
        <v>0</v>
      </c>
      <c r="FX56">
        <v>74</v>
      </c>
      <c r="FY56">
        <v>36</v>
      </c>
      <c r="GA56" t="s">
        <v>3</v>
      </c>
      <c r="GD56">
        <v>1</v>
      </c>
      <c r="GF56">
        <v>-897430996</v>
      </c>
      <c r="GG56">
        <v>2</v>
      </c>
      <c r="GH56">
        <v>0</v>
      </c>
      <c r="GI56">
        <v>2</v>
      </c>
      <c r="GJ56">
        <v>0</v>
      </c>
      <c r="GK56">
        <v>0</v>
      </c>
      <c r="GL56">
        <f t="shared" si="38"/>
        <v>0</v>
      </c>
      <c r="GM56">
        <f t="shared" si="39"/>
        <v>23629.68</v>
      </c>
      <c r="GN56">
        <f t="shared" si="40"/>
        <v>0</v>
      </c>
      <c r="GO56">
        <f t="shared" si="41"/>
        <v>0</v>
      </c>
      <c r="GP56">
        <f t="shared" si="42"/>
        <v>23629.68</v>
      </c>
      <c r="GR56">
        <v>0</v>
      </c>
      <c r="GS56">
        <v>7</v>
      </c>
      <c r="GT56">
        <v>0</v>
      </c>
      <c r="GU56" t="s">
        <v>3</v>
      </c>
      <c r="GV56">
        <f t="shared" si="43"/>
        <v>0</v>
      </c>
      <c r="GW56">
        <v>1</v>
      </c>
      <c r="GX56">
        <f t="shared" si="44"/>
        <v>0</v>
      </c>
      <c r="HA56">
        <v>0</v>
      </c>
      <c r="HB56">
        <v>0</v>
      </c>
      <c r="HC56">
        <f t="shared" si="45"/>
        <v>0</v>
      </c>
      <c r="HE56" t="s">
        <v>3</v>
      </c>
      <c r="HF56" t="s">
        <v>3</v>
      </c>
      <c r="HM56" t="s">
        <v>3</v>
      </c>
      <c r="HN56" t="s">
        <v>3</v>
      </c>
      <c r="HO56" t="s">
        <v>3</v>
      </c>
      <c r="HP56" t="s">
        <v>3</v>
      </c>
      <c r="HQ56" t="s">
        <v>3</v>
      </c>
      <c r="HS56">
        <v>0</v>
      </c>
      <c r="IK56">
        <v>0</v>
      </c>
    </row>
    <row r="57" spans="1:245">
      <c r="A57">
        <v>17</v>
      </c>
      <c r="B57">
        <v>1</v>
      </c>
      <c r="E57" t="s">
        <v>116</v>
      </c>
      <c r="F57" t="s">
        <v>117</v>
      </c>
      <c r="G57" t="s">
        <v>118</v>
      </c>
      <c r="H57" t="s">
        <v>119</v>
      </c>
      <c r="I57">
        <v>3</v>
      </c>
      <c r="J57">
        <v>0</v>
      </c>
      <c r="K57">
        <v>3</v>
      </c>
      <c r="O57">
        <f t="shared" si="21"/>
        <v>790.16</v>
      </c>
      <c r="P57">
        <f>ROUND((ROUND((AC57*AW57*I57),2)*BC57),2)</f>
        <v>0</v>
      </c>
      <c r="Q57">
        <f t="shared" si="58"/>
        <v>0</v>
      </c>
      <c r="R57">
        <f t="shared" si="59"/>
        <v>0</v>
      </c>
      <c r="S57">
        <f t="shared" si="23"/>
        <v>790.16</v>
      </c>
      <c r="T57">
        <f t="shared" si="24"/>
        <v>0</v>
      </c>
      <c r="U57">
        <f t="shared" si="25"/>
        <v>0.86999999999999988</v>
      </c>
      <c r="V57">
        <f t="shared" si="26"/>
        <v>0</v>
      </c>
      <c r="W57">
        <f t="shared" si="27"/>
        <v>0</v>
      </c>
      <c r="X57">
        <f t="shared" si="60"/>
        <v>584.72</v>
      </c>
      <c r="Y57">
        <f t="shared" si="61"/>
        <v>284.45999999999998</v>
      </c>
      <c r="AA57">
        <v>76282491</v>
      </c>
      <c r="AB57">
        <f t="shared" si="28"/>
        <v>4.5599999999999996</v>
      </c>
      <c r="AC57">
        <f t="shared" si="62"/>
        <v>0</v>
      </c>
      <c r="AD57">
        <f t="shared" si="63"/>
        <v>0</v>
      </c>
      <c r="AE57">
        <f t="shared" si="64"/>
        <v>0</v>
      </c>
      <c r="AF57">
        <f t="shared" si="65"/>
        <v>4.5599999999999996</v>
      </c>
      <c r="AG57">
        <f t="shared" si="29"/>
        <v>0</v>
      </c>
      <c r="AH57">
        <f t="shared" si="66"/>
        <v>0.28999999999999998</v>
      </c>
      <c r="AI57">
        <f t="shared" si="67"/>
        <v>0</v>
      </c>
      <c r="AJ57">
        <f t="shared" si="30"/>
        <v>0</v>
      </c>
      <c r="AK57">
        <v>4.5599999999999996</v>
      </c>
      <c r="AL57">
        <v>0</v>
      </c>
      <c r="AM57">
        <v>0</v>
      </c>
      <c r="AN57">
        <v>0</v>
      </c>
      <c r="AO57">
        <v>4.5599999999999996</v>
      </c>
      <c r="AP57">
        <v>0</v>
      </c>
      <c r="AQ57">
        <v>0.28999999999999998</v>
      </c>
      <c r="AR57">
        <v>0</v>
      </c>
      <c r="AS57">
        <v>0</v>
      </c>
      <c r="AT57">
        <v>74</v>
      </c>
      <c r="AU57">
        <v>36</v>
      </c>
      <c r="AV57">
        <v>1</v>
      </c>
      <c r="AW57">
        <v>1</v>
      </c>
      <c r="AZ57">
        <v>1</v>
      </c>
      <c r="BA57">
        <v>57.76</v>
      </c>
      <c r="BB57">
        <v>1</v>
      </c>
      <c r="BC57">
        <v>1</v>
      </c>
      <c r="BD57" t="s">
        <v>3</v>
      </c>
      <c r="BE57" t="s">
        <v>3</v>
      </c>
      <c r="BF57" t="s">
        <v>3</v>
      </c>
      <c r="BG57" t="s">
        <v>3</v>
      </c>
      <c r="BH57">
        <v>0</v>
      </c>
      <c r="BI57">
        <v>4</v>
      </c>
      <c r="BJ57" t="s">
        <v>120</v>
      </c>
      <c r="BM57">
        <v>86</v>
      </c>
      <c r="BN57">
        <v>0</v>
      </c>
      <c r="BO57" t="s">
        <v>3</v>
      </c>
      <c r="BP57">
        <v>0</v>
      </c>
      <c r="BQ57">
        <v>50</v>
      </c>
      <c r="BR57">
        <v>0</v>
      </c>
      <c r="BS57">
        <v>57.76</v>
      </c>
      <c r="BT57">
        <v>1</v>
      </c>
      <c r="BU57">
        <v>1</v>
      </c>
      <c r="BV57">
        <v>1</v>
      </c>
      <c r="BW57">
        <v>1</v>
      </c>
      <c r="BX57">
        <v>1</v>
      </c>
      <c r="BY57" t="s">
        <v>3</v>
      </c>
      <c r="BZ57">
        <v>74</v>
      </c>
      <c r="CA57">
        <v>36</v>
      </c>
      <c r="CB57" t="s">
        <v>3</v>
      </c>
      <c r="CE57">
        <v>1566</v>
      </c>
      <c r="CF57">
        <v>0</v>
      </c>
      <c r="CG57">
        <v>0</v>
      </c>
      <c r="CM57">
        <v>0</v>
      </c>
      <c r="CN57" t="s">
        <v>3</v>
      </c>
      <c r="CO57">
        <v>0</v>
      </c>
      <c r="CP57">
        <f t="shared" si="31"/>
        <v>790.16</v>
      </c>
      <c r="CQ57">
        <f>ROUND((ROUND((AC57*AW57*1),2)*BC57),2)</f>
        <v>0</v>
      </c>
      <c r="CR57">
        <f t="shared" si="68"/>
        <v>0</v>
      </c>
      <c r="CS57">
        <f t="shared" si="69"/>
        <v>0</v>
      </c>
      <c r="CT57">
        <f t="shared" si="33"/>
        <v>263.39</v>
      </c>
      <c r="CU57">
        <f t="shared" si="34"/>
        <v>0</v>
      </c>
      <c r="CV57">
        <f t="shared" si="35"/>
        <v>0.28999999999999998</v>
      </c>
      <c r="CW57">
        <f t="shared" si="36"/>
        <v>0</v>
      </c>
      <c r="CX57">
        <f t="shared" si="37"/>
        <v>0</v>
      </c>
      <c r="CY57">
        <f t="shared" si="70"/>
        <v>584.72</v>
      </c>
      <c r="CZ57">
        <f t="shared" si="71"/>
        <v>284.45999999999998</v>
      </c>
      <c r="DC57" t="s">
        <v>3</v>
      </c>
      <c r="DD57" t="s">
        <v>3</v>
      </c>
      <c r="DE57" t="s">
        <v>3</v>
      </c>
      <c r="DF57" t="s">
        <v>3</v>
      </c>
      <c r="DG57" t="s">
        <v>3</v>
      </c>
      <c r="DH57" t="s">
        <v>3</v>
      </c>
      <c r="DI57" t="s">
        <v>3</v>
      </c>
      <c r="DJ57" t="s">
        <v>3</v>
      </c>
      <c r="DK57" t="s">
        <v>3</v>
      </c>
      <c r="DL57" t="s">
        <v>3</v>
      </c>
      <c r="DM57" t="s">
        <v>3</v>
      </c>
      <c r="DN57">
        <v>0</v>
      </c>
      <c r="DO57">
        <v>0</v>
      </c>
      <c r="DP57">
        <v>1</v>
      </c>
      <c r="DQ57">
        <v>1</v>
      </c>
      <c r="DU57">
        <v>1013</v>
      </c>
      <c r="DV57" t="s">
        <v>119</v>
      </c>
      <c r="DW57" t="s">
        <v>119</v>
      </c>
      <c r="DX57">
        <v>1</v>
      </c>
      <c r="DZ57" t="s">
        <v>3</v>
      </c>
      <c r="EA57" t="s">
        <v>3</v>
      </c>
      <c r="EB57" t="s">
        <v>3</v>
      </c>
      <c r="EC57" t="s">
        <v>3</v>
      </c>
      <c r="EE57">
        <v>76282320</v>
      </c>
      <c r="EF57">
        <v>50</v>
      </c>
      <c r="EG57" t="s">
        <v>113</v>
      </c>
      <c r="EH57">
        <v>0</v>
      </c>
      <c r="EI57" t="s">
        <v>3</v>
      </c>
      <c r="EJ57">
        <v>4</v>
      </c>
      <c r="EK57">
        <v>86</v>
      </c>
      <c r="EL57" t="s">
        <v>114</v>
      </c>
      <c r="EM57" t="s">
        <v>115</v>
      </c>
      <c r="EO57" t="s">
        <v>3</v>
      </c>
      <c r="EQ57">
        <v>131072</v>
      </c>
      <c r="ER57">
        <v>4.5599999999999996</v>
      </c>
      <c r="ES57">
        <v>0</v>
      </c>
      <c r="ET57">
        <v>0</v>
      </c>
      <c r="EU57">
        <v>0</v>
      </c>
      <c r="EV57">
        <v>4.5599999999999996</v>
      </c>
      <c r="EW57">
        <v>0.28999999999999998</v>
      </c>
      <c r="EX57">
        <v>0</v>
      </c>
      <c r="EY57">
        <v>0</v>
      </c>
      <c r="FQ57">
        <v>0</v>
      </c>
      <c r="FR57">
        <v>0</v>
      </c>
      <c r="FS57">
        <v>0</v>
      </c>
      <c r="FX57">
        <v>74</v>
      </c>
      <c r="FY57">
        <v>36</v>
      </c>
      <c r="GA57" t="s">
        <v>3</v>
      </c>
      <c r="GD57">
        <v>1</v>
      </c>
      <c r="GF57">
        <v>-288687127</v>
      </c>
      <c r="GG57">
        <v>2</v>
      </c>
      <c r="GH57">
        <v>0</v>
      </c>
      <c r="GI57">
        <v>2</v>
      </c>
      <c r="GJ57">
        <v>0</v>
      </c>
      <c r="GK57">
        <v>0</v>
      </c>
      <c r="GL57">
        <f t="shared" si="38"/>
        <v>0</v>
      </c>
      <c r="GM57">
        <f t="shared" si="39"/>
        <v>1659.34</v>
      </c>
      <c r="GN57">
        <f t="shared" si="40"/>
        <v>0</v>
      </c>
      <c r="GO57">
        <f t="shared" si="41"/>
        <v>0</v>
      </c>
      <c r="GP57">
        <f t="shared" si="42"/>
        <v>1659.34</v>
      </c>
      <c r="GR57">
        <v>0</v>
      </c>
      <c r="GS57">
        <v>7</v>
      </c>
      <c r="GT57">
        <v>0</v>
      </c>
      <c r="GU57" t="s">
        <v>3</v>
      </c>
      <c r="GV57">
        <f t="shared" si="43"/>
        <v>0</v>
      </c>
      <c r="GW57">
        <v>1</v>
      </c>
      <c r="GX57">
        <f t="shared" si="44"/>
        <v>0</v>
      </c>
      <c r="HA57">
        <v>0</v>
      </c>
      <c r="HB57">
        <v>0</v>
      </c>
      <c r="HC57">
        <f t="shared" si="45"/>
        <v>0</v>
      </c>
      <c r="HE57" t="s">
        <v>3</v>
      </c>
      <c r="HF57" t="s">
        <v>3</v>
      </c>
      <c r="HM57" t="s">
        <v>3</v>
      </c>
      <c r="HN57" t="s">
        <v>3</v>
      </c>
      <c r="HO57" t="s">
        <v>3</v>
      </c>
      <c r="HP57" t="s">
        <v>3</v>
      </c>
      <c r="HQ57" t="s">
        <v>3</v>
      </c>
      <c r="HS57">
        <v>0</v>
      </c>
      <c r="IK57">
        <v>0</v>
      </c>
    </row>
    <row r="58" spans="1:245">
      <c r="A58">
        <v>17</v>
      </c>
      <c r="B58">
        <v>1</v>
      </c>
      <c r="E58" t="s">
        <v>121</v>
      </c>
      <c r="F58" t="s">
        <v>122</v>
      </c>
      <c r="G58" t="s">
        <v>123</v>
      </c>
      <c r="H58" t="s">
        <v>124</v>
      </c>
      <c r="I58">
        <v>11</v>
      </c>
      <c r="J58">
        <v>0</v>
      </c>
      <c r="K58">
        <v>11</v>
      </c>
      <c r="O58">
        <f t="shared" si="21"/>
        <v>1207.18</v>
      </c>
      <c r="P58">
        <f>ROUND((ROUND((AC58*AW58*I58),2)*BC58),2)</f>
        <v>0</v>
      </c>
      <c r="Q58">
        <f t="shared" si="58"/>
        <v>0</v>
      </c>
      <c r="R58">
        <f t="shared" si="59"/>
        <v>0</v>
      </c>
      <c r="S58">
        <f t="shared" si="23"/>
        <v>1207.18</v>
      </c>
      <c r="T58">
        <f t="shared" si="24"/>
        <v>0</v>
      </c>
      <c r="U58">
        <f t="shared" si="25"/>
        <v>1.3199999999999998</v>
      </c>
      <c r="V58">
        <f t="shared" si="26"/>
        <v>0</v>
      </c>
      <c r="W58">
        <f t="shared" si="27"/>
        <v>0</v>
      </c>
      <c r="X58">
        <f t="shared" si="60"/>
        <v>893.31</v>
      </c>
      <c r="Y58">
        <f t="shared" si="61"/>
        <v>434.58</v>
      </c>
      <c r="AA58">
        <v>76282491</v>
      </c>
      <c r="AB58">
        <f t="shared" si="28"/>
        <v>1.9</v>
      </c>
      <c r="AC58">
        <f t="shared" si="62"/>
        <v>0</v>
      </c>
      <c r="AD58">
        <f t="shared" si="63"/>
        <v>0</v>
      </c>
      <c r="AE58">
        <f t="shared" si="64"/>
        <v>0</v>
      </c>
      <c r="AF58">
        <f t="shared" si="65"/>
        <v>1.9</v>
      </c>
      <c r="AG58">
        <f t="shared" si="29"/>
        <v>0</v>
      </c>
      <c r="AH58">
        <f t="shared" si="66"/>
        <v>0.12</v>
      </c>
      <c r="AI58">
        <f t="shared" si="67"/>
        <v>0</v>
      </c>
      <c r="AJ58">
        <f t="shared" si="30"/>
        <v>0</v>
      </c>
      <c r="AK58">
        <v>1.9</v>
      </c>
      <c r="AL58">
        <v>0</v>
      </c>
      <c r="AM58">
        <v>0</v>
      </c>
      <c r="AN58">
        <v>0</v>
      </c>
      <c r="AO58">
        <v>1.9</v>
      </c>
      <c r="AP58">
        <v>0</v>
      </c>
      <c r="AQ58">
        <v>0.12</v>
      </c>
      <c r="AR58">
        <v>0</v>
      </c>
      <c r="AS58">
        <v>0</v>
      </c>
      <c r="AT58">
        <v>74</v>
      </c>
      <c r="AU58">
        <v>36</v>
      </c>
      <c r="AV58">
        <v>1</v>
      </c>
      <c r="AW58">
        <v>1</v>
      </c>
      <c r="AZ58">
        <v>1</v>
      </c>
      <c r="BA58">
        <v>57.76</v>
      </c>
      <c r="BB58">
        <v>1</v>
      </c>
      <c r="BC58">
        <v>1</v>
      </c>
      <c r="BD58" t="s">
        <v>3</v>
      </c>
      <c r="BE58" t="s">
        <v>3</v>
      </c>
      <c r="BF58" t="s">
        <v>3</v>
      </c>
      <c r="BG58" t="s">
        <v>3</v>
      </c>
      <c r="BH58">
        <v>0</v>
      </c>
      <c r="BI58">
        <v>4</v>
      </c>
      <c r="BJ58" t="s">
        <v>125</v>
      </c>
      <c r="BM58">
        <v>86</v>
      </c>
      <c r="BN58">
        <v>0</v>
      </c>
      <c r="BO58" t="s">
        <v>3</v>
      </c>
      <c r="BP58">
        <v>0</v>
      </c>
      <c r="BQ58">
        <v>50</v>
      </c>
      <c r="BR58">
        <v>0</v>
      </c>
      <c r="BS58">
        <v>57.76</v>
      </c>
      <c r="BT58">
        <v>1</v>
      </c>
      <c r="BU58">
        <v>1</v>
      </c>
      <c r="BV58">
        <v>1</v>
      </c>
      <c r="BW58">
        <v>1</v>
      </c>
      <c r="BX58">
        <v>1</v>
      </c>
      <c r="BY58" t="s">
        <v>3</v>
      </c>
      <c r="BZ58">
        <v>74</v>
      </c>
      <c r="CA58">
        <v>36</v>
      </c>
      <c r="CB58" t="s">
        <v>3</v>
      </c>
      <c r="CE58">
        <v>1566</v>
      </c>
      <c r="CF58">
        <v>0</v>
      </c>
      <c r="CG58">
        <v>0</v>
      </c>
      <c r="CM58">
        <v>0</v>
      </c>
      <c r="CN58" t="s">
        <v>3</v>
      </c>
      <c r="CO58">
        <v>0</v>
      </c>
      <c r="CP58">
        <f t="shared" si="31"/>
        <v>1207.18</v>
      </c>
      <c r="CQ58">
        <f>ROUND((ROUND((AC58*AW58*1),2)*BC58),2)</f>
        <v>0</v>
      </c>
      <c r="CR58">
        <f t="shared" si="68"/>
        <v>0</v>
      </c>
      <c r="CS58">
        <f t="shared" si="69"/>
        <v>0</v>
      </c>
      <c r="CT58">
        <f t="shared" si="33"/>
        <v>109.74</v>
      </c>
      <c r="CU58">
        <f t="shared" si="34"/>
        <v>0</v>
      </c>
      <c r="CV58">
        <f t="shared" si="35"/>
        <v>0.12</v>
      </c>
      <c r="CW58">
        <f t="shared" si="36"/>
        <v>0</v>
      </c>
      <c r="CX58">
        <f t="shared" si="37"/>
        <v>0</v>
      </c>
      <c r="CY58">
        <f t="shared" si="70"/>
        <v>893.31</v>
      </c>
      <c r="CZ58">
        <f t="shared" si="71"/>
        <v>434.58</v>
      </c>
      <c r="DC58" t="s">
        <v>3</v>
      </c>
      <c r="DD58" t="s">
        <v>3</v>
      </c>
      <c r="DE58" t="s">
        <v>3</v>
      </c>
      <c r="DF58" t="s">
        <v>3</v>
      </c>
      <c r="DG58" t="s">
        <v>3</v>
      </c>
      <c r="DH58" t="s">
        <v>3</v>
      </c>
      <c r="DI58" t="s">
        <v>3</v>
      </c>
      <c r="DJ58" t="s">
        <v>3</v>
      </c>
      <c r="DK58" t="s">
        <v>3</v>
      </c>
      <c r="DL58" t="s">
        <v>3</v>
      </c>
      <c r="DM58" t="s">
        <v>3</v>
      </c>
      <c r="DN58">
        <v>0</v>
      </c>
      <c r="DO58">
        <v>0</v>
      </c>
      <c r="DP58">
        <v>1</v>
      </c>
      <c r="DQ58">
        <v>1</v>
      </c>
      <c r="DU58">
        <v>1013</v>
      </c>
      <c r="DV58" t="s">
        <v>124</v>
      </c>
      <c r="DW58" t="s">
        <v>124</v>
      </c>
      <c r="DX58">
        <v>1</v>
      </c>
      <c r="DZ58" t="s">
        <v>3</v>
      </c>
      <c r="EA58" t="s">
        <v>3</v>
      </c>
      <c r="EB58" t="s">
        <v>3</v>
      </c>
      <c r="EC58" t="s">
        <v>3</v>
      </c>
      <c r="EE58">
        <v>76282320</v>
      </c>
      <c r="EF58">
        <v>50</v>
      </c>
      <c r="EG58" t="s">
        <v>113</v>
      </c>
      <c r="EH58">
        <v>0</v>
      </c>
      <c r="EI58" t="s">
        <v>3</v>
      </c>
      <c r="EJ58">
        <v>4</v>
      </c>
      <c r="EK58">
        <v>86</v>
      </c>
      <c r="EL58" t="s">
        <v>114</v>
      </c>
      <c r="EM58" t="s">
        <v>115</v>
      </c>
      <c r="EO58" t="s">
        <v>3</v>
      </c>
      <c r="EQ58">
        <v>131072</v>
      </c>
      <c r="ER58">
        <v>1.9</v>
      </c>
      <c r="ES58">
        <v>0</v>
      </c>
      <c r="ET58">
        <v>0</v>
      </c>
      <c r="EU58">
        <v>0</v>
      </c>
      <c r="EV58">
        <v>1.9</v>
      </c>
      <c r="EW58">
        <v>0.12</v>
      </c>
      <c r="EX58">
        <v>0</v>
      </c>
      <c r="EY58">
        <v>0</v>
      </c>
      <c r="FQ58">
        <v>0</v>
      </c>
      <c r="FR58">
        <v>0</v>
      </c>
      <c r="FS58">
        <v>0</v>
      </c>
      <c r="FX58">
        <v>74</v>
      </c>
      <c r="FY58">
        <v>36</v>
      </c>
      <c r="GA58" t="s">
        <v>3</v>
      </c>
      <c r="GD58">
        <v>1</v>
      </c>
      <c r="GF58">
        <v>1299732268</v>
      </c>
      <c r="GG58">
        <v>2</v>
      </c>
      <c r="GH58">
        <v>0</v>
      </c>
      <c r="GI58">
        <v>2</v>
      </c>
      <c r="GJ58">
        <v>0</v>
      </c>
      <c r="GK58">
        <v>0</v>
      </c>
      <c r="GL58">
        <f t="shared" si="38"/>
        <v>0</v>
      </c>
      <c r="GM58">
        <f t="shared" si="39"/>
        <v>2535.0700000000002</v>
      </c>
      <c r="GN58">
        <f t="shared" si="40"/>
        <v>0</v>
      </c>
      <c r="GO58">
        <f t="shared" si="41"/>
        <v>0</v>
      </c>
      <c r="GP58">
        <f t="shared" si="42"/>
        <v>2535.0700000000002</v>
      </c>
      <c r="GR58">
        <v>0</v>
      </c>
      <c r="GS58">
        <v>7</v>
      </c>
      <c r="GT58">
        <v>0</v>
      </c>
      <c r="GU58" t="s">
        <v>3</v>
      </c>
      <c r="GV58">
        <f t="shared" si="43"/>
        <v>0</v>
      </c>
      <c r="GW58">
        <v>1</v>
      </c>
      <c r="GX58">
        <f t="shared" si="44"/>
        <v>0</v>
      </c>
      <c r="HA58">
        <v>0</v>
      </c>
      <c r="HB58">
        <v>0</v>
      </c>
      <c r="HC58">
        <f t="shared" si="45"/>
        <v>0</v>
      </c>
      <c r="HE58" t="s">
        <v>3</v>
      </c>
      <c r="HF58" t="s">
        <v>3</v>
      </c>
      <c r="HM58" t="s">
        <v>3</v>
      </c>
      <c r="HN58" t="s">
        <v>3</v>
      </c>
      <c r="HO58" t="s">
        <v>3</v>
      </c>
      <c r="HP58" t="s">
        <v>3</v>
      </c>
      <c r="HQ58" t="s">
        <v>3</v>
      </c>
      <c r="HS58">
        <v>0</v>
      </c>
      <c r="IK58">
        <v>0</v>
      </c>
    </row>
    <row r="59" spans="1:245">
      <c r="A59">
        <v>17</v>
      </c>
      <c r="B59">
        <v>1</v>
      </c>
      <c r="E59" t="s">
        <v>126</v>
      </c>
      <c r="F59" t="s">
        <v>127</v>
      </c>
      <c r="G59" t="s">
        <v>128</v>
      </c>
      <c r="H59" t="s">
        <v>129</v>
      </c>
      <c r="I59">
        <v>3</v>
      </c>
      <c r="J59">
        <v>0</v>
      </c>
      <c r="K59">
        <v>3</v>
      </c>
      <c r="O59">
        <f t="shared" si="21"/>
        <v>30715.61</v>
      </c>
      <c r="P59">
        <f>ROUND((ROUND((AC59*AW59*I59),2)*BC59),2)</f>
        <v>0</v>
      </c>
      <c r="Q59">
        <f t="shared" si="58"/>
        <v>0</v>
      </c>
      <c r="R59">
        <f t="shared" si="59"/>
        <v>0</v>
      </c>
      <c r="S59">
        <f t="shared" si="23"/>
        <v>30715.61</v>
      </c>
      <c r="T59">
        <f t="shared" si="24"/>
        <v>0</v>
      </c>
      <c r="U59">
        <f t="shared" si="25"/>
        <v>33.599999999999994</v>
      </c>
      <c r="V59">
        <f t="shared" si="26"/>
        <v>0</v>
      </c>
      <c r="W59">
        <f t="shared" si="27"/>
        <v>0</v>
      </c>
      <c r="X59">
        <f t="shared" si="60"/>
        <v>22729.55</v>
      </c>
      <c r="Y59">
        <f t="shared" si="61"/>
        <v>11057.62</v>
      </c>
      <c r="AA59">
        <v>76282491</v>
      </c>
      <c r="AB59">
        <f t="shared" si="28"/>
        <v>177.26</v>
      </c>
      <c r="AC59">
        <f t="shared" si="62"/>
        <v>0</v>
      </c>
      <c r="AD59">
        <f t="shared" si="63"/>
        <v>0</v>
      </c>
      <c r="AE59">
        <f t="shared" si="64"/>
        <v>0</v>
      </c>
      <c r="AF59">
        <f t="shared" si="65"/>
        <v>177.26</v>
      </c>
      <c r="AG59">
        <f t="shared" si="29"/>
        <v>0</v>
      </c>
      <c r="AH59">
        <f t="shared" si="66"/>
        <v>11.2</v>
      </c>
      <c r="AI59">
        <f t="shared" si="67"/>
        <v>0</v>
      </c>
      <c r="AJ59">
        <f t="shared" si="30"/>
        <v>0</v>
      </c>
      <c r="AK59">
        <v>177.26</v>
      </c>
      <c r="AL59">
        <v>0</v>
      </c>
      <c r="AM59">
        <v>0</v>
      </c>
      <c r="AN59">
        <v>0</v>
      </c>
      <c r="AO59">
        <v>177.26</v>
      </c>
      <c r="AP59">
        <v>0</v>
      </c>
      <c r="AQ59">
        <v>11.2</v>
      </c>
      <c r="AR59">
        <v>0</v>
      </c>
      <c r="AS59">
        <v>0</v>
      </c>
      <c r="AT59">
        <v>74</v>
      </c>
      <c r="AU59">
        <v>36</v>
      </c>
      <c r="AV59">
        <v>1</v>
      </c>
      <c r="AW59">
        <v>1</v>
      </c>
      <c r="AZ59">
        <v>1</v>
      </c>
      <c r="BA59">
        <v>57.76</v>
      </c>
      <c r="BB59">
        <v>1</v>
      </c>
      <c r="BC59">
        <v>1</v>
      </c>
      <c r="BD59" t="s">
        <v>3</v>
      </c>
      <c r="BE59" t="s">
        <v>3</v>
      </c>
      <c r="BF59" t="s">
        <v>3</v>
      </c>
      <c r="BG59" t="s">
        <v>3</v>
      </c>
      <c r="BH59">
        <v>0</v>
      </c>
      <c r="BI59">
        <v>4</v>
      </c>
      <c r="BJ59" t="s">
        <v>130</v>
      </c>
      <c r="BM59">
        <v>86</v>
      </c>
      <c r="BN59">
        <v>0</v>
      </c>
      <c r="BO59" t="s">
        <v>3</v>
      </c>
      <c r="BP59">
        <v>0</v>
      </c>
      <c r="BQ59">
        <v>50</v>
      </c>
      <c r="BR59">
        <v>0</v>
      </c>
      <c r="BS59">
        <v>57.76</v>
      </c>
      <c r="BT59">
        <v>1</v>
      </c>
      <c r="BU59">
        <v>1</v>
      </c>
      <c r="BV59">
        <v>1</v>
      </c>
      <c r="BW59">
        <v>1</v>
      </c>
      <c r="BX59">
        <v>1</v>
      </c>
      <c r="BY59" t="s">
        <v>3</v>
      </c>
      <c r="BZ59">
        <v>74</v>
      </c>
      <c r="CA59">
        <v>36</v>
      </c>
      <c r="CB59" t="s">
        <v>3</v>
      </c>
      <c r="CE59">
        <v>1566</v>
      </c>
      <c r="CF59">
        <v>0</v>
      </c>
      <c r="CG59">
        <v>0</v>
      </c>
      <c r="CM59">
        <v>0</v>
      </c>
      <c r="CN59" t="s">
        <v>3</v>
      </c>
      <c r="CO59">
        <v>0</v>
      </c>
      <c r="CP59">
        <f t="shared" si="31"/>
        <v>30715.61</v>
      </c>
      <c r="CQ59">
        <f>ROUND((ROUND((AC59*AW59*1),2)*BC59),2)</f>
        <v>0</v>
      </c>
      <c r="CR59">
        <f t="shared" si="68"/>
        <v>0</v>
      </c>
      <c r="CS59">
        <f t="shared" si="69"/>
        <v>0</v>
      </c>
      <c r="CT59">
        <f t="shared" si="33"/>
        <v>10238.540000000001</v>
      </c>
      <c r="CU59">
        <f t="shared" si="34"/>
        <v>0</v>
      </c>
      <c r="CV59">
        <f t="shared" si="35"/>
        <v>11.2</v>
      </c>
      <c r="CW59">
        <f t="shared" si="36"/>
        <v>0</v>
      </c>
      <c r="CX59">
        <f t="shared" si="37"/>
        <v>0</v>
      </c>
      <c r="CY59">
        <f t="shared" si="70"/>
        <v>22729.55</v>
      </c>
      <c r="CZ59">
        <f t="shared" si="71"/>
        <v>11057.62</v>
      </c>
      <c r="DC59" t="s">
        <v>3</v>
      </c>
      <c r="DD59" t="s">
        <v>3</v>
      </c>
      <c r="DE59" t="s">
        <v>3</v>
      </c>
      <c r="DF59" t="s">
        <v>3</v>
      </c>
      <c r="DG59" t="s">
        <v>3</v>
      </c>
      <c r="DH59" t="s">
        <v>3</v>
      </c>
      <c r="DI59" t="s">
        <v>3</v>
      </c>
      <c r="DJ59" t="s">
        <v>3</v>
      </c>
      <c r="DK59" t="s">
        <v>3</v>
      </c>
      <c r="DL59" t="s">
        <v>3</v>
      </c>
      <c r="DM59" t="s">
        <v>3</v>
      </c>
      <c r="DN59">
        <v>0</v>
      </c>
      <c r="DO59">
        <v>0</v>
      </c>
      <c r="DP59">
        <v>1</v>
      </c>
      <c r="DQ59">
        <v>1</v>
      </c>
      <c r="DU59">
        <v>1013</v>
      </c>
      <c r="DV59" t="s">
        <v>129</v>
      </c>
      <c r="DW59" t="s">
        <v>129</v>
      </c>
      <c r="DX59">
        <v>1</v>
      </c>
      <c r="DZ59" t="s">
        <v>3</v>
      </c>
      <c r="EA59" t="s">
        <v>3</v>
      </c>
      <c r="EB59" t="s">
        <v>3</v>
      </c>
      <c r="EC59" t="s">
        <v>3</v>
      </c>
      <c r="EE59">
        <v>76282320</v>
      </c>
      <c r="EF59">
        <v>50</v>
      </c>
      <c r="EG59" t="s">
        <v>113</v>
      </c>
      <c r="EH59">
        <v>0</v>
      </c>
      <c r="EI59" t="s">
        <v>3</v>
      </c>
      <c r="EJ59">
        <v>4</v>
      </c>
      <c r="EK59">
        <v>86</v>
      </c>
      <c r="EL59" t="s">
        <v>114</v>
      </c>
      <c r="EM59" t="s">
        <v>115</v>
      </c>
      <c r="EO59" t="s">
        <v>3</v>
      </c>
      <c r="EQ59">
        <v>131072</v>
      </c>
      <c r="ER59">
        <v>177.26</v>
      </c>
      <c r="ES59">
        <v>0</v>
      </c>
      <c r="ET59">
        <v>0</v>
      </c>
      <c r="EU59">
        <v>0</v>
      </c>
      <c r="EV59">
        <v>177.26</v>
      </c>
      <c r="EW59">
        <v>11.2</v>
      </c>
      <c r="EX59">
        <v>0</v>
      </c>
      <c r="EY59">
        <v>0</v>
      </c>
      <c r="FQ59">
        <v>0</v>
      </c>
      <c r="FR59">
        <v>0</v>
      </c>
      <c r="FS59">
        <v>0</v>
      </c>
      <c r="FX59">
        <v>74</v>
      </c>
      <c r="FY59">
        <v>36</v>
      </c>
      <c r="GA59" t="s">
        <v>3</v>
      </c>
      <c r="GD59">
        <v>1</v>
      </c>
      <c r="GF59">
        <v>761731201</v>
      </c>
      <c r="GG59">
        <v>2</v>
      </c>
      <c r="GH59">
        <v>0</v>
      </c>
      <c r="GI59">
        <v>2</v>
      </c>
      <c r="GJ59">
        <v>0</v>
      </c>
      <c r="GK59">
        <v>0</v>
      </c>
      <c r="GL59">
        <f t="shared" si="38"/>
        <v>0</v>
      </c>
      <c r="GM59">
        <f t="shared" si="39"/>
        <v>64502.78</v>
      </c>
      <c r="GN59">
        <f t="shared" si="40"/>
        <v>0</v>
      </c>
      <c r="GO59">
        <f t="shared" si="41"/>
        <v>0</v>
      </c>
      <c r="GP59">
        <f t="shared" si="42"/>
        <v>64502.78</v>
      </c>
      <c r="GR59">
        <v>0</v>
      </c>
      <c r="GS59">
        <v>7</v>
      </c>
      <c r="GT59">
        <v>0</v>
      </c>
      <c r="GU59" t="s">
        <v>3</v>
      </c>
      <c r="GV59">
        <f t="shared" si="43"/>
        <v>0</v>
      </c>
      <c r="GW59">
        <v>1</v>
      </c>
      <c r="GX59">
        <f t="shared" si="44"/>
        <v>0</v>
      </c>
      <c r="HA59">
        <v>0</v>
      </c>
      <c r="HB59">
        <v>0</v>
      </c>
      <c r="HC59">
        <f t="shared" si="45"/>
        <v>0</v>
      </c>
      <c r="HE59" t="s">
        <v>3</v>
      </c>
      <c r="HF59" t="s">
        <v>3</v>
      </c>
      <c r="HM59" t="s">
        <v>3</v>
      </c>
      <c r="HN59" t="s">
        <v>3</v>
      </c>
      <c r="HO59" t="s">
        <v>3</v>
      </c>
      <c r="HP59" t="s">
        <v>3</v>
      </c>
      <c r="HQ59" t="s">
        <v>3</v>
      </c>
      <c r="HS59">
        <v>0</v>
      </c>
      <c r="IK59">
        <v>0</v>
      </c>
    </row>
    <row r="61" spans="1:245">
      <c r="A61" s="2">
        <v>51</v>
      </c>
      <c r="B61" s="2">
        <f>B24</f>
        <v>1</v>
      </c>
      <c r="C61" s="2">
        <f>A24</f>
        <v>4</v>
      </c>
      <c r="D61" s="2">
        <f>ROW(A24)</f>
        <v>24</v>
      </c>
      <c r="E61" s="2"/>
      <c r="F61" s="2" t="str">
        <f>IF(F24&lt;&gt;"",F24,"")</f>
        <v>Новый раздел</v>
      </c>
      <c r="G61" s="2" t="str">
        <f>IF(G24&lt;&gt;"",G24,"")</f>
        <v>Читальный зал (щитовое оборудование)</v>
      </c>
      <c r="H61" s="2">
        <v>0</v>
      </c>
      <c r="I61" s="2"/>
      <c r="J61" s="2"/>
      <c r="K61" s="2"/>
      <c r="L61" s="2"/>
      <c r="M61" s="2"/>
      <c r="N61" s="2"/>
      <c r="O61" s="2">
        <f t="shared" ref="O61:T61" si="72">ROUND(AB61,2)</f>
        <v>91806.33</v>
      </c>
      <c r="P61" s="2">
        <f t="shared" si="72"/>
        <v>19860.38</v>
      </c>
      <c r="Q61" s="2">
        <f t="shared" si="72"/>
        <v>638.92999999999995</v>
      </c>
      <c r="R61" s="2">
        <f t="shared" si="72"/>
        <v>231.62</v>
      </c>
      <c r="S61" s="2">
        <f t="shared" si="72"/>
        <v>71307.02</v>
      </c>
      <c r="T61" s="2">
        <f t="shared" si="72"/>
        <v>0</v>
      </c>
      <c r="U61" s="2">
        <f>AH61</f>
        <v>89.261999999999986</v>
      </c>
      <c r="V61" s="2">
        <f>AI61</f>
        <v>0</v>
      </c>
      <c r="W61" s="2">
        <f>ROUND(AJ61,2)</f>
        <v>0</v>
      </c>
      <c r="X61" s="2">
        <f>ROUND(AK61,2)</f>
        <v>59280.49</v>
      </c>
      <c r="Y61" s="2">
        <f>ROUND(AL61,2)</f>
        <v>29889.93</v>
      </c>
      <c r="Z61" s="2"/>
      <c r="AA61" s="2"/>
      <c r="AB61" s="2">
        <f>ROUND(SUMIF(AA28:AA59,"=76282491",O28:O59),2)</f>
        <v>91806.33</v>
      </c>
      <c r="AC61" s="2">
        <f>ROUND(SUMIF(AA28:AA59,"=76282491",P28:P59),2)</f>
        <v>19860.38</v>
      </c>
      <c r="AD61" s="2">
        <f>ROUND(SUMIF(AA28:AA59,"=76282491",Q28:Q59),2)</f>
        <v>638.92999999999995</v>
      </c>
      <c r="AE61" s="2">
        <f>ROUND(SUMIF(AA28:AA59,"=76282491",R28:R59),2)</f>
        <v>231.62</v>
      </c>
      <c r="AF61" s="2">
        <f>ROUND(SUMIF(AA28:AA59,"=76282491",S28:S59),2)</f>
        <v>71307.02</v>
      </c>
      <c r="AG61" s="2">
        <f>ROUND(SUMIF(AA28:AA59,"=76282491",T28:T59),2)</f>
        <v>0</v>
      </c>
      <c r="AH61" s="2">
        <f>SUMIF(AA28:AA59,"=76282491",U28:U59)</f>
        <v>89.261999999999986</v>
      </c>
      <c r="AI61" s="2">
        <f>SUMIF(AA28:AA59,"=76282491",V28:V59)</f>
        <v>0</v>
      </c>
      <c r="AJ61" s="2">
        <f>ROUND(SUMIF(AA28:AA59,"=76282491",W28:W59),2)</f>
        <v>0</v>
      </c>
      <c r="AK61" s="2">
        <f>ROUND(SUMIF(AA28:AA59,"=76282491",X28:X59),2)</f>
        <v>59280.49</v>
      </c>
      <c r="AL61" s="2">
        <f>ROUND(SUMIF(AA28:AA59,"=76282491",Y28:Y59),2)</f>
        <v>29889.93</v>
      </c>
      <c r="AM61" s="2"/>
      <c r="AN61" s="2"/>
      <c r="AO61" s="2">
        <f t="shared" ref="AO61:BD61" si="73">ROUND(BX61,2)</f>
        <v>0</v>
      </c>
      <c r="AP61" s="2">
        <f t="shared" si="73"/>
        <v>16189.98</v>
      </c>
      <c r="AQ61" s="2">
        <f t="shared" si="73"/>
        <v>0</v>
      </c>
      <c r="AR61" s="2">
        <f t="shared" si="73"/>
        <v>180976.75</v>
      </c>
      <c r="AS61" s="2">
        <f t="shared" si="73"/>
        <v>0</v>
      </c>
      <c r="AT61" s="2">
        <f t="shared" si="73"/>
        <v>72459.899999999994</v>
      </c>
      <c r="AU61" s="2">
        <f t="shared" si="73"/>
        <v>92326.87</v>
      </c>
      <c r="AV61" s="2">
        <f t="shared" si="73"/>
        <v>19860.38</v>
      </c>
      <c r="AW61" s="2">
        <f t="shared" si="73"/>
        <v>3670.4</v>
      </c>
      <c r="AX61" s="2">
        <f t="shared" si="73"/>
        <v>0</v>
      </c>
      <c r="AY61" s="2">
        <f t="shared" si="73"/>
        <v>3670.4</v>
      </c>
      <c r="AZ61" s="2">
        <f t="shared" si="73"/>
        <v>16189.98</v>
      </c>
      <c r="BA61" s="2">
        <f t="shared" si="73"/>
        <v>0</v>
      </c>
      <c r="BB61" s="2">
        <f t="shared" si="73"/>
        <v>0</v>
      </c>
      <c r="BC61" s="2">
        <f t="shared" si="73"/>
        <v>0</v>
      </c>
      <c r="BD61" s="2">
        <f t="shared" si="73"/>
        <v>0</v>
      </c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>
        <f>ROUND(SUMIF(AA28:AA59,"=76282491",FQ28:FQ59),2)</f>
        <v>0</v>
      </c>
      <c r="BY61" s="2">
        <f>ROUND(SUMIF(AA28:AA59,"=76282491",FR28:FR59),2)</f>
        <v>16189.98</v>
      </c>
      <c r="BZ61" s="2">
        <f>ROUND(SUMIF(AA28:AA59,"=76282491",GL28:GL59),2)</f>
        <v>0</v>
      </c>
      <c r="CA61" s="2">
        <f>ROUND(SUMIF(AA28:AA59,"=76282491",GM28:GM59),2)</f>
        <v>180976.75</v>
      </c>
      <c r="CB61" s="2">
        <f>ROUND(SUMIF(AA28:AA59,"=76282491",GN28:GN59),2)</f>
        <v>0</v>
      </c>
      <c r="CC61" s="2">
        <f>ROUND(SUMIF(AA28:AA59,"=76282491",GO28:GO59),2)</f>
        <v>72459.899999999994</v>
      </c>
      <c r="CD61" s="2">
        <f>ROUND(SUMIF(AA28:AA59,"=76282491",GP28:GP59),2)</f>
        <v>92326.87</v>
      </c>
      <c r="CE61" s="2">
        <f>AC61-BX61</f>
        <v>19860.38</v>
      </c>
      <c r="CF61" s="2">
        <f>AC61-BY61</f>
        <v>3670.4000000000015</v>
      </c>
      <c r="CG61" s="2">
        <f>BX61-BZ61</f>
        <v>0</v>
      </c>
      <c r="CH61" s="2">
        <f>AC61-BX61-BY61+BZ61</f>
        <v>3670.4000000000015</v>
      </c>
      <c r="CI61" s="2">
        <f>BY61-BZ61</f>
        <v>16189.98</v>
      </c>
      <c r="CJ61" s="2">
        <f>ROUND(SUMIF(AA28:AA59,"=76282491",GX28:GX59),2)</f>
        <v>0</v>
      </c>
      <c r="CK61" s="2">
        <f>ROUND(SUMIF(AA28:AA59,"=76282491",GY28:GY59),2)</f>
        <v>0</v>
      </c>
      <c r="CL61" s="2">
        <f>ROUND(SUMIF(AA28:AA59,"=76282491",GZ28:GZ59),2)</f>
        <v>0</v>
      </c>
      <c r="CM61" s="2">
        <f>ROUND(SUMIF(AA28:AA59,"=76282491",HD28:HD59),2)</f>
        <v>0</v>
      </c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>
        <v>0</v>
      </c>
    </row>
    <row r="63" spans="1:245">
      <c r="A63" s="4">
        <v>50</v>
      </c>
      <c r="B63" s="4">
        <v>0</v>
      </c>
      <c r="C63" s="4">
        <v>0</v>
      </c>
      <c r="D63" s="4">
        <v>1</v>
      </c>
      <c r="E63" s="4">
        <v>201</v>
      </c>
      <c r="F63" s="4">
        <f>ROUND(Source!O61,O63)</f>
        <v>91806.33</v>
      </c>
      <c r="G63" s="4" t="s">
        <v>131</v>
      </c>
      <c r="H63" s="4" t="s">
        <v>132</v>
      </c>
      <c r="I63" s="4"/>
      <c r="J63" s="4"/>
      <c r="K63" s="4">
        <v>201</v>
      </c>
      <c r="L63" s="4">
        <v>1</v>
      </c>
      <c r="M63" s="4">
        <v>3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91806.33</v>
      </c>
      <c r="X63" s="4">
        <v>1</v>
      </c>
      <c r="Y63" s="4">
        <v>91806.33</v>
      </c>
      <c r="Z63" s="4"/>
      <c r="AA63" s="4"/>
      <c r="AB63" s="4"/>
    </row>
    <row r="64" spans="1:245">
      <c r="A64" s="4">
        <v>50</v>
      </c>
      <c r="B64" s="4">
        <v>0</v>
      </c>
      <c r="C64" s="4">
        <v>0</v>
      </c>
      <c r="D64" s="4">
        <v>1</v>
      </c>
      <c r="E64" s="4">
        <v>202</v>
      </c>
      <c r="F64" s="4">
        <f>ROUND(Source!P61,O64)</f>
        <v>19860.38</v>
      </c>
      <c r="G64" s="4" t="s">
        <v>133</v>
      </c>
      <c r="H64" s="4" t="s">
        <v>134</v>
      </c>
      <c r="I64" s="4"/>
      <c r="J64" s="4"/>
      <c r="K64" s="4">
        <v>202</v>
      </c>
      <c r="L64" s="4">
        <v>2</v>
      </c>
      <c r="M64" s="4">
        <v>3</v>
      </c>
      <c r="N64" s="4" t="s">
        <v>3</v>
      </c>
      <c r="O64" s="4">
        <v>2</v>
      </c>
      <c r="P64" s="4"/>
      <c r="Q64" s="4"/>
      <c r="R64" s="4"/>
      <c r="S64" s="4"/>
      <c r="T64" s="4"/>
      <c r="U64" s="4"/>
      <c r="V64" s="4"/>
      <c r="W64" s="4">
        <v>19860.38</v>
      </c>
      <c r="X64" s="4">
        <v>1</v>
      </c>
      <c r="Y64" s="4">
        <v>19860.38</v>
      </c>
      <c r="Z64" s="4"/>
      <c r="AA64" s="4"/>
      <c r="AB64" s="4"/>
    </row>
    <row r="65" spans="1:28">
      <c r="A65" s="4">
        <v>50</v>
      </c>
      <c r="B65" s="4">
        <v>0</v>
      </c>
      <c r="C65" s="4">
        <v>0</v>
      </c>
      <c r="D65" s="4">
        <v>1</v>
      </c>
      <c r="E65" s="4">
        <v>222</v>
      </c>
      <c r="F65" s="4">
        <f>ROUND(Source!AO61,O65)</f>
        <v>0</v>
      </c>
      <c r="G65" s="4" t="s">
        <v>135</v>
      </c>
      <c r="H65" s="4" t="s">
        <v>136</v>
      </c>
      <c r="I65" s="4"/>
      <c r="J65" s="4"/>
      <c r="K65" s="4">
        <v>222</v>
      </c>
      <c r="L65" s="4">
        <v>3</v>
      </c>
      <c r="M65" s="4">
        <v>3</v>
      </c>
      <c r="N65" s="4" t="s">
        <v>3</v>
      </c>
      <c r="O65" s="4">
        <v>2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8">
      <c r="A66" s="4">
        <v>50</v>
      </c>
      <c r="B66" s="4">
        <v>0</v>
      </c>
      <c r="C66" s="4">
        <v>0</v>
      </c>
      <c r="D66" s="4">
        <v>1</v>
      </c>
      <c r="E66" s="4">
        <v>225</v>
      </c>
      <c r="F66" s="4">
        <f>ROUND(Source!AV61,O66)</f>
        <v>19860.38</v>
      </c>
      <c r="G66" s="4" t="s">
        <v>137</v>
      </c>
      <c r="H66" s="4" t="s">
        <v>138</v>
      </c>
      <c r="I66" s="4"/>
      <c r="J66" s="4"/>
      <c r="K66" s="4">
        <v>225</v>
      </c>
      <c r="L66" s="4">
        <v>4</v>
      </c>
      <c r="M66" s="4">
        <v>3</v>
      </c>
      <c r="N66" s="4" t="s">
        <v>3</v>
      </c>
      <c r="O66" s="4">
        <v>2</v>
      </c>
      <c r="P66" s="4"/>
      <c r="Q66" s="4"/>
      <c r="R66" s="4"/>
      <c r="S66" s="4"/>
      <c r="T66" s="4"/>
      <c r="U66" s="4"/>
      <c r="V66" s="4"/>
      <c r="W66" s="4">
        <v>19860.38</v>
      </c>
      <c r="X66" s="4">
        <v>1</v>
      </c>
      <c r="Y66" s="4">
        <v>19860.38</v>
      </c>
      <c r="Z66" s="4"/>
      <c r="AA66" s="4"/>
      <c r="AB66" s="4"/>
    </row>
    <row r="67" spans="1:28">
      <c r="A67" s="4">
        <v>50</v>
      </c>
      <c r="B67" s="4">
        <v>0</v>
      </c>
      <c r="C67" s="4">
        <v>0</v>
      </c>
      <c r="D67" s="4">
        <v>1</v>
      </c>
      <c r="E67" s="4">
        <v>226</v>
      </c>
      <c r="F67" s="4">
        <f>ROUND(Source!AW61,O67)</f>
        <v>3670.4</v>
      </c>
      <c r="G67" s="4" t="s">
        <v>139</v>
      </c>
      <c r="H67" s="4" t="s">
        <v>140</v>
      </c>
      <c r="I67" s="4"/>
      <c r="J67" s="4"/>
      <c r="K67" s="4">
        <v>226</v>
      </c>
      <c r="L67" s="4">
        <v>5</v>
      </c>
      <c r="M67" s="4">
        <v>3</v>
      </c>
      <c r="N67" s="4" t="s">
        <v>3</v>
      </c>
      <c r="O67" s="4">
        <v>2</v>
      </c>
      <c r="P67" s="4"/>
      <c r="Q67" s="4"/>
      <c r="R67" s="4"/>
      <c r="S67" s="4"/>
      <c r="T67" s="4"/>
      <c r="U67" s="4"/>
      <c r="V67" s="4"/>
      <c r="W67" s="4">
        <v>3670.4</v>
      </c>
      <c r="X67" s="4">
        <v>1</v>
      </c>
      <c r="Y67" s="4">
        <v>3670.4</v>
      </c>
      <c r="Z67" s="4"/>
      <c r="AA67" s="4"/>
      <c r="AB67" s="4"/>
    </row>
    <row r="68" spans="1:28">
      <c r="A68" s="4">
        <v>50</v>
      </c>
      <c r="B68" s="4">
        <v>0</v>
      </c>
      <c r="C68" s="4">
        <v>0</v>
      </c>
      <c r="D68" s="4">
        <v>1</v>
      </c>
      <c r="E68" s="4">
        <v>227</v>
      </c>
      <c r="F68" s="4">
        <f>ROUND(Source!AX61,O68)</f>
        <v>0</v>
      </c>
      <c r="G68" s="4" t="s">
        <v>141</v>
      </c>
      <c r="H68" s="4" t="s">
        <v>142</v>
      </c>
      <c r="I68" s="4"/>
      <c r="J68" s="4"/>
      <c r="K68" s="4">
        <v>227</v>
      </c>
      <c r="L68" s="4">
        <v>6</v>
      </c>
      <c r="M68" s="4">
        <v>3</v>
      </c>
      <c r="N68" s="4" t="s">
        <v>3</v>
      </c>
      <c r="O68" s="4">
        <v>2</v>
      </c>
      <c r="P68" s="4"/>
      <c r="Q68" s="4"/>
      <c r="R68" s="4"/>
      <c r="S68" s="4"/>
      <c r="T68" s="4"/>
      <c r="U68" s="4"/>
      <c r="V68" s="4"/>
      <c r="W68" s="4">
        <v>0</v>
      </c>
      <c r="X68" s="4">
        <v>1</v>
      </c>
      <c r="Y68" s="4">
        <v>0</v>
      </c>
      <c r="Z68" s="4"/>
      <c r="AA68" s="4"/>
      <c r="AB68" s="4"/>
    </row>
    <row r="69" spans="1:28">
      <c r="A69" s="4">
        <v>50</v>
      </c>
      <c r="B69" s="4">
        <v>0</v>
      </c>
      <c r="C69" s="4">
        <v>0</v>
      </c>
      <c r="D69" s="4">
        <v>1</v>
      </c>
      <c r="E69" s="4">
        <v>228</v>
      </c>
      <c r="F69" s="4">
        <f>ROUND(Source!AY61,O69)</f>
        <v>3670.4</v>
      </c>
      <c r="G69" s="4" t="s">
        <v>143</v>
      </c>
      <c r="H69" s="4" t="s">
        <v>144</v>
      </c>
      <c r="I69" s="4"/>
      <c r="J69" s="4"/>
      <c r="K69" s="4">
        <v>228</v>
      </c>
      <c r="L69" s="4">
        <v>7</v>
      </c>
      <c r="M69" s="4">
        <v>3</v>
      </c>
      <c r="N69" s="4" t="s">
        <v>3</v>
      </c>
      <c r="O69" s="4">
        <v>2</v>
      </c>
      <c r="P69" s="4"/>
      <c r="Q69" s="4"/>
      <c r="R69" s="4"/>
      <c r="S69" s="4"/>
      <c r="T69" s="4"/>
      <c r="U69" s="4"/>
      <c r="V69" s="4"/>
      <c r="W69" s="4">
        <v>3670.4</v>
      </c>
      <c r="X69" s="4">
        <v>1</v>
      </c>
      <c r="Y69" s="4">
        <v>3670.4</v>
      </c>
      <c r="Z69" s="4"/>
      <c r="AA69" s="4"/>
      <c r="AB69" s="4"/>
    </row>
    <row r="70" spans="1:28">
      <c r="A70" s="4">
        <v>50</v>
      </c>
      <c r="B70" s="4">
        <v>0</v>
      </c>
      <c r="C70" s="4">
        <v>0</v>
      </c>
      <c r="D70" s="4">
        <v>1</v>
      </c>
      <c r="E70" s="4">
        <v>216</v>
      </c>
      <c r="F70" s="4">
        <f>ROUND(Source!AP61,O70)</f>
        <v>16189.98</v>
      </c>
      <c r="G70" s="4" t="s">
        <v>145</v>
      </c>
      <c r="H70" s="4" t="s">
        <v>146</v>
      </c>
      <c r="I70" s="4"/>
      <c r="J70" s="4"/>
      <c r="K70" s="4">
        <v>216</v>
      </c>
      <c r="L70" s="4">
        <v>8</v>
      </c>
      <c r="M70" s="4">
        <v>3</v>
      </c>
      <c r="N70" s="4" t="s">
        <v>3</v>
      </c>
      <c r="O70" s="4">
        <v>2</v>
      </c>
      <c r="P70" s="4"/>
      <c r="Q70" s="4"/>
      <c r="R70" s="4"/>
      <c r="S70" s="4"/>
      <c r="T70" s="4"/>
      <c r="U70" s="4"/>
      <c r="V70" s="4"/>
      <c r="W70" s="4">
        <v>16189.98</v>
      </c>
      <c r="X70" s="4">
        <v>1</v>
      </c>
      <c r="Y70" s="4">
        <v>16189.98</v>
      </c>
      <c r="Z70" s="4"/>
      <c r="AA70" s="4"/>
      <c r="AB70" s="4"/>
    </row>
    <row r="71" spans="1:28">
      <c r="A71" s="4">
        <v>50</v>
      </c>
      <c r="B71" s="4">
        <v>0</v>
      </c>
      <c r="C71" s="4">
        <v>0</v>
      </c>
      <c r="D71" s="4">
        <v>1</v>
      </c>
      <c r="E71" s="4">
        <v>223</v>
      </c>
      <c r="F71" s="4">
        <f>ROUND(Source!AQ61,O71)</f>
        <v>0</v>
      </c>
      <c r="G71" s="4" t="s">
        <v>147</v>
      </c>
      <c r="H71" s="4" t="s">
        <v>148</v>
      </c>
      <c r="I71" s="4"/>
      <c r="J71" s="4"/>
      <c r="K71" s="4">
        <v>223</v>
      </c>
      <c r="L71" s="4">
        <v>9</v>
      </c>
      <c r="M71" s="4">
        <v>3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0</v>
      </c>
      <c r="X71" s="4">
        <v>1</v>
      </c>
      <c r="Y71" s="4">
        <v>0</v>
      </c>
      <c r="Z71" s="4"/>
      <c r="AA71" s="4"/>
      <c r="AB71" s="4"/>
    </row>
    <row r="72" spans="1:28">
      <c r="A72" s="4">
        <v>50</v>
      </c>
      <c r="B72" s="4">
        <v>0</v>
      </c>
      <c r="C72" s="4">
        <v>0</v>
      </c>
      <c r="D72" s="4">
        <v>1</v>
      </c>
      <c r="E72" s="4">
        <v>229</v>
      </c>
      <c r="F72" s="4">
        <f>ROUND(Source!AZ61,O72)</f>
        <v>16189.98</v>
      </c>
      <c r="G72" s="4" t="s">
        <v>149</v>
      </c>
      <c r="H72" s="4" t="s">
        <v>150</v>
      </c>
      <c r="I72" s="4"/>
      <c r="J72" s="4"/>
      <c r="K72" s="4">
        <v>229</v>
      </c>
      <c r="L72" s="4">
        <v>10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16189.98</v>
      </c>
      <c r="X72" s="4">
        <v>1</v>
      </c>
      <c r="Y72" s="4">
        <v>16189.98</v>
      </c>
      <c r="Z72" s="4"/>
      <c r="AA72" s="4"/>
      <c r="AB72" s="4"/>
    </row>
    <row r="73" spans="1:28">
      <c r="A73" s="4">
        <v>50</v>
      </c>
      <c r="B73" s="4">
        <v>0</v>
      </c>
      <c r="C73" s="4">
        <v>0</v>
      </c>
      <c r="D73" s="4">
        <v>1</v>
      </c>
      <c r="E73" s="4">
        <v>203</v>
      </c>
      <c r="F73" s="4">
        <f>ROUND(Source!Q61,O73)</f>
        <v>638.92999999999995</v>
      </c>
      <c r="G73" s="4" t="s">
        <v>151</v>
      </c>
      <c r="H73" s="4" t="s">
        <v>152</v>
      </c>
      <c r="I73" s="4"/>
      <c r="J73" s="4"/>
      <c r="K73" s="4">
        <v>203</v>
      </c>
      <c r="L73" s="4">
        <v>11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638.92999999999995</v>
      </c>
      <c r="X73" s="4">
        <v>1</v>
      </c>
      <c r="Y73" s="4">
        <v>638.92999999999995</v>
      </c>
      <c r="Z73" s="4"/>
      <c r="AA73" s="4"/>
      <c r="AB73" s="4"/>
    </row>
    <row r="74" spans="1:28">
      <c r="A74" s="4">
        <v>50</v>
      </c>
      <c r="B74" s="4">
        <v>0</v>
      </c>
      <c r="C74" s="4">
        <v>0</v>
      </c>
      <c r="D74" s="4">
        <v>1</v>
      </c>
      <c r="E74" s="4">
        <v>231</v>
      </c>
      <c r="F74" s="4">
        <f>ROUND(Source!BB61,O74)</f>
        <v>0</v>
      </c>
      <c r="G74" s="4" t="s">
        <v>153</v>
      </c>
      <c r="H74" s="4" t="s">
        <v>154</v>
      </c>
      <c r="I74" s="4"/>
      <c r="J74" s="4"/>
      <c r="K74" s="4">
        <v>231</v>
      </c>
      <c r="L74" s="4">
        <v>12</v>
      </c>
      <c r="M74" s="4">
        <v>3</v>
      </c>
      <c r="N74" s="4" t="s">
        <v>3</v>
      </c>
      <c r="O74" s="4">
        <v>2</v>
      </c>
      <c r="P74" s="4"/>
      <c r="Q74" s="4"/>
      <c r="R74" s="4"/>
      <c r="S74" s="4"/>
      <c r="T74" s="4"/>
      <c r="U74" s="4"/>
      <c r="V74" s="4"/>
      <c r="W74" s="4">
        <v>0</v>
      </c>
      <c r="X74" s="4">
        <v>1</v>
      </c>
      <c r="Y74" s="4">
        <v>0</v>
      </c>
      <c r="Z74" s="4"/>
      <c r="AA74" s="4"/>
      <c r="AB74" s="4"/>
    </row>
    <row r="75" spans="1:28">
      <c r="A75" s="4">
        <v>50</v>
      </c>
      <c r="B75" s="4">
        <v>0</v>
      </c>
      <c r="C75" s="4">
        <v>0</v>
      </c>
      <c r="D75" s="4">
        <v>1</v>
      </c>
      <c r="E75" s="4">
        <v>204</v>
      </c>
      <c r="F75" s="4">
        <f>ROUND(Source!R61,O75)</f>
        <v>231.62</v>
      </c>
      <c r="G75" s="4" t="s">
        <v>155</v>
      </c>
      <c r="H75" s="4" t="s">
        <v>156</v>
      </c>
      <c r="I75" s="4"/>
      <c r="J75" s="4"/>
      <c r="K75" s="4">
        <v>204</v>
      </c>
      <c r="L75" s="4">
        <v>13</v>
      </c>
      <c r="M75" s="4">
        <v>3</v>
      </c>
      <c r="N75" s="4" t="s">
        <v>3</v>
      </c>
      <c r="O75" s="4">
        <v>2</v>
      </c>
      <c r="P75" s="4"/>
      <c r="Q75" s="4"/>
      <c r="R75" s="4"/>
      <c r="S75" s="4"/>
      <c r="T75" s="4"/>
      <c r="U75" s="4"/>
      <c r="V75" s="4"/>
      <c r="W75" s="4">
        <v>231.62</v>
      </c>
      <c r="X75" s="4">
        <v>1</v>
      </c>
      <c r="Y75" s="4">
        <v>231.62</v>
      </c>
      <c r="Z75" s="4"/>
      <c r="AA75" s="4"/>
      <c r="AB75" s="4"/>
    </row>
    <row r="76" spans="1:28">
      <c r="A76" s="4">
        <v>50</v>
      </c>
      <c r="B76" s="4">
        <v>0</v>
      </c>
      <c r="C76" s="4">
        <v>0</v>
      </c>
      <c r="D76" s="4">
        <v>1</v>
      </c>
      <c r="E76" s="4">
        <v>205</v>
      </c>
      <c r="F76" s="4">
        <f>ROUND(Source!S61,O76)</f>
        <v>71307.02</v>
      </c>
      <c r="G76" s="4" t="s">
        <v>157</v>
      </c>
      <c r="H76" s="4" t="s">
        <v>158</v>
      </c>
      <c r="I76" s="4"/>
      <c r="J76" s="4"/>
      <c r="K76" s="4">
        <v>205</v>
      </c>
      <c r="L76" s="4">
        <v>14</v>
      </c>
      <c r="M76" s="4">
        <v>3</v>
      </c>
      <c r="N76" s="4" t="s">
        <v>3</v>
      </c>
      <c r="O76" s="4">
        <v>2</v>
      </c>
      <c r="P76" s="4"/>
      <c r="Q76" s="4"/>
      <c r="R76" s="4"/>
      <c r="S76" s="4"/>
      <c r="T76" s="4"/>
      <c r="U76" s="4"/>
      <c r="V76" s="4"/>
      <c r="W76" s="4">
        <v>71307.02</v>
      </c>
      <c r="X76" s="4">
        <v>1</v>
      </c>
      <c r="Y76" s="4">
        <v>71307.02</v>
      </c>
      <c r="Z76" s="4"/>
      <c r="AA76" s="4"/>
      <c r="AB76" s="4"/>
    </row>
    <row r="77" spans="1:28">
      <c r="A77" s="4">
        <v>50</v>
      </c>
      <c r="B77" s="4">
        <v>0</v>
      </c>
      <c r="C77" s="4">
        <v>0</v>
      </c>
      <c r="D77" s="4">
        <v>1</v>
      </c>
      <c r="E77" s="4">
        <v>232</v>
      </c>
      <c r="F77" s="4">
        <f>ROUND(Source!BC61,O77)</f>
        <v>0</v>
      </c>
      <c r="G77" s="4" t="s">
        <v>159</v>
      </c>
      <c r="H77" s="4" t="s">
        <v>160</v>
      </c>
      <c r="I77" s="4"/>
      <c r="J77" s="4"/>
      <c r="K77" s="4">
        <v>232</v>
      </c>
      <c r="L77" s="4">
        <v>15</v>
      </c>
      <c r="M77" s="4">
        <v>3</v>
      </c>
      <c r="N77" s="4" t="s">
        <v>3</v>
      </c>
      <c r="O77" s="4">
        <v>2</v>
      </c>
      <c r="P77" s="4"/>
      <c r="Q77" s="4"/>
      <c r="R77" s="4"/>
      <c r="S77" s="4"/>
      <c r="T77" s="4"/>
      <c r="U77" s="4"/>
      <c r="V77" s="4"/>
      <c r="W77" s="4">
        <v>0</v>
      </c>
      <c r="X77" s="4">
        <v>1</v>
      </c>
      <c r="Y77" s="4">
        <v>0</v>
      </c>
      <c r="Z77" s="4"/>
      <c r="AA77" s="4"/>
      <c r="AB77" s="4"/>
    </row>
    <row r="78" spans="1:28">
      <c r="A78" s="4">
        <v>50</v>
      </c>
      <c r="B78" s="4">
        <v>0</v>
      </c>
      <c r="C78" s="4">
        <v>0</v>
      </c>
      <c r="D78" s="4">
        <v>1</v>
      </c>
      <c r="E78" s="4">
        <v>214</v>
      </c>
      <c r="F78" s="4">
        <f>ROUND(Source!AS61,O78)</f>
        <v>0</v>
      </c>
      <c r="G78" s="4" t="s">
        <v>161</v>
      </c>
      <c r="H78" s="4" t="s">
        <v>162</v>
      </c>
      <c r="I78" s="4"/>
      <c r="J78" s="4"/>
      <c r="K78" s="4">
        <v>214</v>
      </c>
      <c r="L78" s="4">
        <v>16</v>
      </c>
      <c r="M78" s="4">
        <v>3</v>
      </c>
      <c r="N78" s="4" t="s">
        <v>3</v>
      </c>
      <c r="O78" s="4">
        <v>2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8">
      <c r="A79" s="4">
        <v>50</v>
      </c>
      <c r="B79" s="4">
        <v>0</v>
      </c>
      <c r="C79" s="4">
        <v>0</v>
      </c>
      <c r="D79" s="4">
        <v>1</v>
      </c>
      <c r="E79" s="4">
        <v>215</v>
      </c>
      <c r="F79" s="4">
        <f>ROUND(Source!AT61,O79)</f>
        <v>72459.899999999994</v>
      </c>
      <c r="G79" s="4" t="s">
        <v>163</v>
      </c>
      <c r="H79" s="4" t="s">
        <v>164</v>
      </c>
      <c r="I79" s="4"/>
      <c r="J79" s="4"/>
      <c r="K79" s="4">
        <v>215</v>
      </c>
      <c r="L79" s="4">
        <v>17</v>
      </c>
      <c r="M79" s="4">
        <v>3</v>
      </c>
      <c r="N79" s="4" t="s">
        <v>3</v>
      </c>
      <c r="O79" s="4">
        <v>2</v>
      </c>
      <c r="P79" s="4"/>
      <c r="Q79" s="4"/>
      <c r="R79" s="4"/>
      <c r="S79" s="4"/>
      <c r="T79" s="4"/>
      <c r="U79" s="4"/>
      <c r="V79" s="4"/>
      <c r="W79" s="4">
        <v>72459.899999999994</v>
      </c>
      <c r="X79" s="4">
        <v>1</v>
      </c>
      <c r="Y79" s="4">
        <v>72459.899999999994</v>
      </c>
      <c r="Z79" s="4"/>
      <c r="AA79" s="4"/>
      <c r="AB79" s="4"/>
    </row>
    <row r="80" spans="1:28">
      <c r="A80" s="4">
        <v>50</v>
      </c>
      <c r="B80" s="4">
        <v>0</v>
      </c>
      <c r="C80" s="4">
        <v>0</v>
      </c>
      <c r="D80" s="4">
        <v>1</v>
      </c>
      <c r="E80" s="4">
        <v>217</v>
      </c>
      <c r="F80" s="4">
        <f>ROUND(Source!AU61,O80)</f>
        <v>92326.87</v>
      </c>
      <c r="G80" s="4" t="s">
        <v>165</v>
      </c>
      <c r="H80" s="4" t="s">
        <v>166</v>
      </c>
      <c r="I80" s="4"/>
      <c r="J80" s="4"/>
      <c r="K80" s="4">
        <v>217</v>
      </c>
      <c r="L80" s="4">
        <v>18</v>
      </c>
      <c r="M80" s="4">
        <v>3</v>
      </c>
      <c r="N80" s="4" t="s">
        <v>3</v>
      </c>
      <c r="O80" s="4">
        <v>2</v>
      </c>
      <c r="P80" s="4"/>
      <c r="Q80" s="4"/>
      <c r="R80" s="4"/>
      <c r="S80" s="4"/>
      <c r="T80" s="4"/>
      <c r="U80" s="4"/>
      <c r="V80" s="4"/>
      <c r="W80" s="4">
        <v>92326.87</v>
      </c>
      <c r="X80" s="4">
        <v>1</v>
      </c>
      <c r="Y80" s="4">
        <v>92326.87</v>
      </c>
      <c r="Z80" s="4"/>
      <c r="AA80" s="4"/>
      <c r="AB80" s="4"/>
    </row>
    <row r="81" spans="1:245">
      <c r="A81" s="4">
        <v>50</v>
      </c>
      <c r="B81" s="4">
        <v>0</v>
      </c>
      <c r="C81" s="4">
        <v>0</v>
      </c>
      <c r="D81" s="4">
        <v>1</v>
      </c>
      <c r="E81" s="4">
        <v>230</v>
      </c>
      <c r="F81" s="4">
        <f>ROUND(Source!BA61,O81)</f>
        <v>0</v>
      </c>
      <c r="G81" s="4" t="s">
        <v>167</v>
      </c>
      <c r="H81" s="4" t="s">
        <v>168</v>
      </c>
      <c r="I81" s="4"/>
      <c r="J81" s="4"/>
      <c r="K81" s="4">
        <v>230</v>
      </c>
      <c r="L81" s="4">
        <v>19</v>
      </c>
      <c r="M81" s="4">
        <v>3</v>
      </c>
      <c r="N81" s="4" t="s">
        <v>3</v>
      </c>
      <c r="O81" s="4">
        <v>2</v>
      </c>
      <c r="P81" s="4"/>
      <c r="Q81" s="4"/>
      <c r="R81" s="4"/>
      <c r="S81" s="4"/>
      <c r="T81" s="4"/>
      <c r="U81" s="4"/>
      <c r="V81" s="4"/>
      <c r="W81" s="4">
        <v>0</v>
      </c>
      <c r="X81" s="4">
        <v>1</v>
      </c>
      <c r="Y81" s="4">
        <v>0</v>
      </c>
      <c r="Z81" s="4"/>
      <c r="AA81" s="4"/>
      <c r="AB81" s="4"/>
    </row>
    <row r="82" spans="1:245">
      <c r="A82" s="4">
        <v>50</v>
      </c>
      <c r="B82" s="4">
        <v>0</v>
      </c>
      <c r="C82" s="4">
        <v>0</v>
      </c>
      <c r="D82" s="4">
        <v>1</v>
      </c>
      <c r="E82" s="4">
        <v>206</v>
      </c>
      <c r="F82" s="4">
        <f>ROUND(Source!T61,O82)</f>
        <v>0</v>
      </c>
      <c r="G82" s="4" t="s">
        <v>169</v>
      </c>
      <c r="H82" s="4" t="s">
        <v>170</v>
      </c>
      <c r="I82" s="4"/>
      <c r="J82" s="4"/>
      <c r="K82" s="4">
        <v>206</v>
      </c>
      <c r="L82" s="4">
        <v>20</v>
      </c>
      <c r="M82" s="4">
        <v>3</v>
      </c>
      <c r="N82" s="4" t="s">
        <v>3</v>
      </c>
      <c r="O82" s="4">
        <v>2</v>
      </c>
      <c r="P82" s="4"/>
      <c r="Q82" s="4"/>
      <c r="R82" s="4"/>
      <c r="S82" s="4"/>
      <c r="T82" s="4"/>
      <c r="U82" s="4"/>
      <c r="V82" s="4"/>
      <c r="W82" s="4">
        <v>0</v>
      </c>
      <c r="X82" s="4">
        <v>1</v>
      </c>
      <c r="Y82" s="4">
        <v>0</v>
      </c>
      <c r="Z82" s="4"/>
      <c r="AA82" s="4"/>
      <c r="AB82" s="4"/>
    </row>
    <row r="83" spans="1:245">
      <c r="A83" s="4">
        <v>50</v>
      </c>
      <c r="B83" s="4">
        <v>0</v>
      </c>
      <c r="C83" s="4">
        <v>0</v>
      </c>
      <c r="D83" s="4">
        <v>1</v>
      </c>
      <c r="E83" s="4">
        <v>207</v>
      </c>
      <c r="F83" s="4">
        <f>Source!U61</f>
        <v>89.261999999999986</v>
      </c>
      <c r="G83" s="4" t="s">
        <v>171</v>
      </c>
      <c r="H83" s="4" t="s">
        <v>172</v>
      </c>
      <c r="I83" s="4"/>
      <c r="J83" s="4"/>
      <c r="K83" s="4">
        <v>207</v>
      </c>
      <c r="L83" s="4">
        <v>21</v>
      </c>
      <c r="M83" s="4">
        <v>3</v>
      </c>
      <c r="N83" s="4" t="s">
        <v>3</v>
      </c>
      <c r="O83" s="4">
        <v>-1</v>
      </c>
      <c r="P83" s="4"/>
      <c r="Q83" s="4"/>
      <c r="R83" s="4"/>
      <c r="S83" s="4"/>
      <c r="T83" s="4"/>
      <c r="U83" s="4"/>
      <c r="V83" s="4"/>
      <c r="W83" s="4">
        <v>89.262</v>
      </c>
      <c r="X83" s="4">
        <v>1</v>
      </c>
      <c r="Y83" s="4">
        <v>89.262</v>
      </c>
      <c r="Z83" s="4"/>
      <c r="AA83" s="4"/>
      <c r="AB83" s="4"/>
    </row>
    <row r="84" spans="1:245">
      <c r="A84" s="4">
        <v>50</v>
      </c>
      <c r="B84" s="4">
        <v>0</v>
      </c>
      <c r="C84" s="4">
        <v>0</v>
      </c>
      <c r="D84" s="4">
        <v>1</v>
      </c>
      <c r="E84" s="4">
        <v>208</v>
      </c>
      <c r="F84" s="4">
        <f>Source!V61</f>
        <v>0</v>
      </c>
      <c r="G84" s="4" t="s">
        <v>173</v>
      </c>
      <c r="H84" s="4" t="s">
        <v>174</v>
      </c>
      <c r="I84" s="4"/>
      <c r="J84" s="4"/>
      <c r="K84" s="4">
        <v>208</v>
      </c>
      <c r="L84" s="4">
        <v>22</v>
      </c>
      <c r="M84" s="4">
        <v>3</v>
      </c>
      <c r="N84" s="4" t="s">
        <v>3</v>
      </c>
      <c r="O84" s="4">
        <v>-1</v>
      </c>
      <c r="P84" s="4"/>
      <c r="Q84" s="4"/>
      <c r="R84" s="4"/>
      <c r="S84" s="4"/>
      <c r="T84" s="4"/>
      <c r="U84" s="4"/>
      <c r="V84" s="4"/>
      <c r="W84" s="4">
        <v>0</v>
      </c>
      <c r="X84" s="4">
        <v>1</v>
      </c>
      <c r="Y84" s="4">
        <v>0</v>
      </c>
      <c r="Z84" s="4"/>
      <c r="AA84" s="4"/>
      <c r="AB84" s="4"/>
    </row>
    <row r="85" spans="1:245">
      <c r="A85" s="4">
        <v>50</v>
      </c>
      <c r="B85" s="4">
        <v>0</v>
      </c>
      <c r="C85" s="4">
        <v>0</v>
      </c>
      <c r="D85" s="4">
        <v>1</v>
      </c>
      <c r="E85" s="4">
        <v>209</v>
      </c>
      <c r="F85" s="4">
        <f>ROUND(Source!W61,O85)</f>
        <v>0</v>
      </c>
      <c r="G85" s="4" t="s">
        <v>175</v>
      </c>
      <c r="H85" s="4" t="s">
        <v>176</v>
      </c>
      <c r="I85" s="4"/>
      <c r="J85" s="4"/>
      <c r="K85" s="4">
        <v>209</v>
      </c>
      <c r="L85" s="4">
        <v>23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45">
      <c r="A86" s="4">
        <v>50</v>
      </c>
      <c r="B86" s="4">
        <v>0</v>
      </c>
      <c r="C86" s="4">
        <v>0</v>
      </c>
      <c r="D86" s="4">
        <v>1</v>
      </c>
      <c r="E86" s="4">
        <v>233</v>
      </c>
      <c r="F86" s="4">
        <f>ROUND(Source!BD61,O86)</f>
        <v>0</v>
      </c>
      <c r="G86" s="4" t="s">
        <v>177</v>
      </c>
      <c r="H86" s="4" t="s">
        <v>178</v>
      </c>
      <c r="I86" s="4"/>
      <c r="J86" s="4"/>
      <c r="K86" s="4">
        <v>233</v>
      </c>
      <c r="L86" s="4">
        <v>24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45">
      <c r="A87" s="4">
        <v>50</v>
      </c>
      <c r="B87" s="4">
        <v>0</v>
      </c>
      <c r="C87" s="4">
        <v>0</v>
      </c>
      <c r="D87" s="4">
        <v>1</v>
      </c>
      <c r="E87" s="4">
        <v>210</v>
      </c>
      <c r="F87" s="4">
        <f>ROUND(Source!X61,O87)</f>
        <v>59280.49</v>
      </c>
      <c r="G87" s="4" t="s">
        <v>179</v>
      </c>
      <c r="H87" s="4" t="s">
        <v>180</v>
      </c>
      <c r="I87" s="4"/>
      <c r="J87" s="4"/>
      <c r="K87" s="4">
        <v>210</v>
      </c>
      <c r="L87" s="4">
        <v>25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>
        <v>59280.49</v>
      </c>
      <c r="X87" s="4">
        <v>1</v>
      </c>
      <c r="Y87" s="4">
        <v>59280.49</v>
      </c>
      <c r="Z87" s="4"/>
      <c r="AA87" s="4"/>
      <c r="AB87" s="4"/>
    </row>
    <row r="88" spans="1:245">
      <c r="A88" s="4">
        <v>50</v>
      </c>
      <c r="B88" s="4">
        <v>0</v>
      </c>
      <c r="C88" s="4">
        <v>0</v>
      </c>
      <c r="D88" s="4">
        <v>1</v>
      </c>
      <c r="E88" s="4">
        <v>211</v>
      </c>
      <c r="F88" s="4">
        <f>ROUND(Source!Y61,O88)</f>
        <v>29889.93</v>
      </c>
      <c r="G88" s="4" t="s">
        <v>181</v>
      </c>
      <c r="H88" s="4" t="s">
        <v>182</v>
      </c>
      <c r="I88" s="4"/>
      <c r="J88" s="4"/>
      <c r="K88" s="4">
        <v>211</v>
      </c>
      <c r="L88" s="4">
        <v>26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>
        <v>29889.93</v>
      </c>
      <c r="X88" s="4">
        <v>1</v>
      </c>
      <c r="Y88" s="4">
        <v>29889.93</v>
      </c>
      <c r="Z88" s="4"/>
      <c r="AA88" s="4"/>
      <c r="AB88" s="4"/>
    </row>
    <row r="89" spans="1:245">
      <c r="A89" s="4">
        <v>50</v>
      </c>
      <c r="B89" s="4">
        <v>0</v>
      </c>
      <c r="C89" s="4">
        <v>0</v>
      </c>
      <c r="D89" s="4">
        <v>1</v>
      </c>
      <c r="E89" s="4">
        <v>224</v>
      </c>
      <c r="F89" s="4">
        <f>ROUND(Source!AR61,O89)</f>
        <v>180976.75</v>
      </c>
      <c r="G89" s="4" t="s">
        <v>183</v>
      </c>
      <c r="H89" s="4" t="s">
        <v>184</v>
      </c>
      <c r="I89" s="4"/>
      <c r="J89" s="4"/>
      <c r="K89" s="4">
        <v>224</v>
      </c>
      <c r="L89" s="4">
        <v>27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180976.75</v>
      </c>
      <c r="X89" s="4">
        <v>1</v>
      </c>
      <c r="Y89" s="4">
        <v>180976.75</v>
      </c>
      <c r="Z89" s="4"/>
      <c r="AA89" s="4"/>
      <c r="AB89" s="4"/>
    </row>
    <row r="91" spans="1:245">
      <c r="A91" s="1">
        <v>4</v>
      </c>
      <c r="B91" s="1">
        <v>1</v>
      </c>
      <c r="C91" s="1"/>
      <c r="D91" s="1">
        <f>ROW(A126)</f>
        <v>126</v>
      </c>
      <c r="E91" s="1"/>
      <c r="F91" s="1" t="s">
        <v>11</v>
      </c>
      <c r="G91" s="1" t="s">
        <v>185</v>
      </c>
      <c r="H91" s="1" t="s">
        <v>3</v>
      </c>
      <c r="I91" s="1">
        <v>0</v>
      </c>
      <c r="J91" s="1"/>
      <c r="K91" s="1">
        <v>0</v>
      </c>
      <c r="L91" s="1"/>
      <c r="M91" s="1" t="s">
        <v>3</v>
      </c>
      <c r="N91" s="1"/>
      <c r="O91" s="1"/>
      <c r="P91" s="1"/>
      <c r="Q91" s="1"/>
      <c r="R91" s="1"/>
      <c r="S91" s="1">
        <v>0</v>
      </c>
      <c r="T91" s="1"/>
      <c r="U91" s="1" t="s">
        <v>3</v>
      </c>
      <c r="V91" s="1">
        <v>0</v>
      </c>
      <c r="W91" s="1"/>
      <c r="X91" s="1"/>
      <c r="Y91" s="1"/>
      <c r="Z91" s="1"/>
      <c r="AA91" s="1"/>
      <c r="AB91" s="1" t="s">
        <v>3</v>
      </c>
      <c r="AC91" s="1" t="s">
        <v>3</v>
      </c>
      <c r="AD91" s="1" t="s">
        <v>3</v>
      </c>
      <c r="AE91" s="1" t="s">
        <v>3</v>
      </c>
      <c r="AF91" s="1" t="s">
        <v>3</v>
      </c>
      <c r="AG91" s="1" t="s">
        <v>3</v>
      </c>
      <c r="AH91" s="1"/>
      <c r="AI91" s="1"/>
      <c r="AJ91" s="1"/>
      <c r="AK91" s="1"/>
      <c r="AL91" s="1"/>
      <c r="AM91" s="1"/>
      <c r="AN91" s="1"/>
      <c r="AO91" s="1"/>
      <c r="AP91" s="1" t="s">
        <v>3</v>
      </c>
      <c r="AQ91" s="1" t="s">
        <v>3</v>
      </c>
      <c r="AR91" s="1" t="s">
        <v>3</v>
      </c>
      <c r="AS91" s="1"/>
      <c r="AT91" s="1"/>
      <c r="AU91" s="1"/>
      <c r="AV91" s="1"/>
      <c r="AW91" s="1"/>
      <c r="AX91" s="1"/>
      <c r="AY91" s="1"/>
      <c r="AZ91" s="1" t="s">
        <v>3</v>
      </c>
      <c r="BA91" s="1"/>
      <c r="BB91" s="1" t="s">
        <v>3</v>
      </c>
      <c r="BC91" s="1" t="s">
        <v>3</v>
      </c>
      <c r="BD91" s="1" t="s">
        <v>3</v>
      </c>
      <c r="BE91" s="1" t="s">
        <v>3</v>
      </c>
      <c r="BF91" s="1" t="s">
        <v>3</v>
      </c>
      <c r="BG91" s="1" t="s">
        <v>3</v>
      </c>
      <c r="BH91" s="1" t="s">
        <v>3</v>
      </c>
      <c r="BI91" s="1" t="s">
        <v>3</v>
      </c>
      <c r="BJ91" s="1" t="s">
        <v>3</v>
      </c>
      <c r="BK91" s="1" t="s">
        <v>3</v>
      </c>
      <c r="BL91" s="1" t="s">
        <v>3</v>
      </c>
      <c r="BM91" s="1" t="s">
        <v>3</v>
      </c>
      <c r="BN91" s="1" t="s">
        <v>3</v>
      </c>
      <c r="BO91" s="1" t="s">
        <v>3</v>
      </c>
      <c r="BP91" s="1" t="s">
        <v>3</v>
      </c>
      <c r="BQ91" s="1"/>
      <c r="BR91" s="1"/>
      <c r="BS91" s="1"/>
      <c r="BT91" s="1"/>
      <c r="BU91" s="1"/>
      <c r="BV91" s="1"/>
      <c r="BW91" s="1"/>
      <c r="BX91" s="1">
        <v>0</v>
      </c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>
        <v>0</v>
      </c>
    </row>
    <row r="93" spans="1:245">
      <c r="A93" s="2">
        <v>52</v>
      </c>
      <c r="B93" s="2">
        <f t="shared" ref="B93:G93" si="74">B126</f>
        <v>1</v>
      </c>
      <c r="C93" s="2">
        <f t="shared" si="74"/>
        <v>4</v>
      </c>
      <c r="D93" s="2">
        <f t="shared" si="74"/>
        <v>91</v>
      </c>
      <c r="E93" s="2">
        <f t="shared" si="74"/>
        <v>0</v>
      </c>
      <c r="F93" s="2" t="str">
        <f t="shared" si="74"/>
        <v>Новый раздел</v>
      </c>
      <c r="G93" s="2" t="str">
        <f t="shared" si="74"/>
        <v>Установка воздушной завесы</v>
      </c>
      <c r="H93" s="2"/>
      <c r="I93" s="2"/>
      <c r="J93" s="2"/>
      <c r="K93" s="2"/>
      <c r="L93" s="2"/>
      <c r="M93" s="2"/>
      <c r="N93" s="2"/>
      <c r="O93" s="2">
        <f t="shared" ref="O93:AT93" si="75">O126</f>
        <v>69264.27</v>
      </c>
      <c r="P93" s="2">
        <f t="shared" si="75"/>
        <v>37778.11</v>
      </c>
      <c r="Q93" s="2">
        <f t="shared" si="75"/>
        <v>574.74</v>
      </c>
      <c r="R93" s="2">
        <f t="shared" si="75"/>
        <v>215.45</v>
      </c>
      <c r="S93" s="2">
        <f t="shared" si="75"/>
        <v>30911.42</v>
      </c>
      <c r="T93" s="2">
        <f t="shared" si="75"/>
        <v>0</v>
      </c>
      <c r="U93" s="2">
        <f t="shared" si="75"/>
        <v>40.717479999999995</v>
      </c>
      <c r="V93" s="2">
        <f t="shared" si="75"/>
        <v>0</v>
      </c>
      <c r="W93" s="2">
        <f t="shared" si="75"/>
        <v>0</v>
      </c>
      <c r="X93" s="2">
        <f t="shared" si="75"/>
        <v>28101.73</v>
      </c>
      <c r="Y93" s="2">
        <f t="shared" si="75"/>
        <v>14643.23</v>
      </c>
      <c r="Z93" s="2">
        <f t="shared" si="75"/>
        <v>0</v>
      </c>
      <c r="AA93" s="2">
        <f t="shared" si="75"/>
        <v>0</v>
      </c>
      <c r="AB93" s="2">
        <f t="shared" si="75"/>
        <v>69264.27</v>
      </c>
      <c r="AC93" s="2">
        <f t="shared" si="75"/>
        <v>37778.11</v>
      </c>
      <c r="AD93" s="2">
        <f t="shared" si="75"/>
        <v>574.74</v>
      </c>
      <c r="AE93" s="2">
        <f t="shared" si="75"/>
        <v>215.45</v>
      </c>
      <c r="AF93" s="2">
        <f t="shared" si="75"/>
        <v>30911.42</v>
      </c>
      <c r="AG93" s="2">
        <f t="shared" si="75"/>
        <v>0</v>
      </c>
      <c r="AH93" s="2">
        <f t="shared" si="75"/>
        <v>40.717479999999995</v>
      </c>
      <c r="AI93" s="2">
        <f t="shared" si="75"/>
        <v>0</v>
      </c>
      <c r="AJ93" s="2">
        <f t="shared" si="75"/>
        <v>0</v>
      </c>
      <c r="AK93" s="2">
        <f t="shared" si="75"/>
        <v>28101.73</v>
      </c>
      <c r="AL93" s="2">
        <f t="shared" si="75"/>
        <v>14643.23</v>
      </c>
      <c r="AM93" s="2">
        <f t="shared" si="75"/>
        <v>0</v>
      </c>
      <c r="AN93" s="2">
        <f t="shared" si="75"/>
        <v>0</v>
      </c>
      <c r="AO93" s="2">
        <f t="shared" si="75"/>
        <v>0</v>
      </c>
      <c r="AP93" s="2">
        <f t="shared" si="75"/>
        <v>19141.98</v>
      </c>
      <c r="AQ93" s="2">
        <f t="shared" si="75"/>
        <v>0</v>
      </c>
      <c r="AR93" s="2">
        <f t="shared" si="75"/>
        <v>112009.23</v>
      </c>
      <c r="AS93" s="2">
        <f t="shared" si="75"/>
        <v>34147.89</v>
      </c>
      <c r="AT93" s="2">
        <f t="shared" si="75"/>
        <v>32950.01</v>
      </c>
      <c r="AU93" s="2">
        <f t="shared" ref="AU93:BZ93" si="76">AU126</f>
        <v>25769.35</v>
      </c>
      <c r="AV93" s="2">
        <f t="shared" si="76"/>
        <v>37778.11</v>
      </c>
      <c r="AW93" s="2">
        <f t="shared" si="76"/>
        <v>18636.13</v>
      </c>
      <c r="AX93" s="2">
        <f t="shared" si="76"/>
        <v>0</v>
      </c>
      <c r="AY93" s="2">
        <f t="shared" si="76"/>
        <v>18636.13</v>
      </c>
      <c r="AZ93" s="2">
        <f t="shared" si="76"/>
        <v>19141.98</v>
      </c>
      <c r="BA93" s="2">
        <f t="shared" si="76"/>
        <v>0</v>
      </c>
      <c r="BB93" s="2">
        <f t="shared" si="76"/>
        <v>0</v>
      </c>
      <c r="BC93" s="2">
        <f t="shared" si="76"/>
        <v>0</v>
      </c>
      <c r="BD93" s="2">
        <f t="shared" si="76"/>
        <v>0</v>
      </c>
      <c r="BE93" s="2">
        <f t="shared" si="76"/>
        <v>0</v>
      </c>
      <c r="BF93" s="2">
        <f t="shared" si="76"/>
        <v>0</v>
      </c>
      <c r="BG93" s="2">
        <f t="shared" si="76"/>
        <v>0</v>
      </c>
      <c r="BH93" s="2">
        <f t="shared" si="76"/>
        <v>0</v>
      </c>
      <c r="BI93" s="2">
        <f t="shared" si="76"/>
        <v>0</v>
      </c>
      <c r="BJ93" s="2">
        <f t="shared" si="76"/>
        <v>0</v>
      </c>
      <c r="BK93" s="2">
        <f t="shared" si="76"/>
        <v>0</v>
      </c>
      <c r="BL93" s="2">
        <f t="shared" si="76"/>
        <v>0</v>
      </c>
      <c r="BM93" s="2">
        <f t="shared" si="76"/>
        <v>0</v>
      </c>
      <c r="BN93" s="2">
        <f t="shared" si="76"/>
        <v>0</v>
      </c>
      <c r="BO93" s="2">
        <f t="shared" si="76"/>
        <v>0</v>
      </c>
      <c r="BP93" s="2">
        <f t="shared" si="76"/>
        <v>0</v>
      </c>
      <c r="BQ93" s="2">
        <f t="shared" si="76"/>
        <v>0</v>
      </c>
      <c r="BR93" s="2">
        <f t="shared" si="76"/>
        <v>0</v>
      </c>
      <c r="BS93" s="2">
        <f t="shared" si="76"/>
        <v>0</v>
      </c>
      <c r="BT93" s="2">
        <f t="shared" si="76"/>
        <v>0</v>
      </c>
      <c r="BU93" s="2">
        <f t="shared" si="76"/>
        <v>0</v>
      </c>
      <c r="BV93" s="2">
        <f t="shared" si="76"/>
        <v>0</v>
      </c>
      <c r="BW93" s="2">
        <f t="shared" si="76"/>
        <v>0</v>
      </c>
      <c r="BX93" s="2">
        <f t="shared" si="76"/>
        <v>0</v>
      </c>
      <c r="BY93" s="2">
        <f t="shared" si="76"/>
        <v>19141.98</v>
      </c>
      <c r="BZ93" s="2">
        <f t="shared" si="76"/>
        <v>0</v>
      </c>
      <c r="CA93" s="2">
        <f t="shared" ref="CA93:DF93" si="77">CA126</f>
        <v>112009.23</v>
      </c>
      <c r="CB93" s="2">
        <f t="shared" si="77"/>
        <v>34147.89</v>
      </c>
      <c r="CC93" s="2">
        <f t="shared" si="77"/>
        <v>32950.01</v>
      </c>
      <c r="CD93" s="2">
        <f t="shared" si="77"/>
        <v>25769.35</v>
      </c>
      <c r="CE93" s="2">
        <f t="shared" si="77"/>
        <v>37778.11</v>
      </c>
      <c r="CF93" s="2">
        <f t="shared" si="77"/>
        <v>18636.13</v>
      </c>
      <c r="CG93" s="2">
        <f t="shared" si="77"/>
        <v>0</v>
      </c>
      <c r="CH93" s="2">
        <f t="shared" si="77"/>
        <v>18636.13</v>
      </c>
      <c r="CI93" s="2">
        <f t="shared" si="77"/>
        <v>19141.98</v>
      </c>
      <c r="CJ93" s="2">
        <f t="shared" si="77"/>
        <v>0</v>
      </c>
      <c r="CK93" s="2">
        <f t="shared" si="77"/>
        <v>0</v>
      </c>
      <c r="CL93" s="2">
        <f t="shared" si="77"/>
        <v>0</v>
      </c>
      <c r="CM93" s="2">
        <f t="shared" si="77"/>
        <v>0</v>
      </c>
      <c r="CN93" s="2">
        <f t="shared" si="77"/>
        <v>0</v>
      </c>
      <c r="CO93" s="2">
        <f t="shared" si="77"/>
        <v>0</v>
      </c>
      <c r="CP93" s="2">
        <f t="shared" si="77"/>
        <v>0</v>
      </c>
      <c r="CQ93" s="2">
        <f t="shared" si="77"/>
        <v>0</v>
      </c>
      <c r="CR93" s="2">
        <f t="shared" si="77"/>
        <v>0</v>
      </c>
      <c r="CS93" s="2">
        <f t="shared" si="77"/>
        <v>0</v>
      </c>
      <c r="CT93" s="2">
        <f t="shared" si="77"/>
        <v>0</v>
      </c>
      <c r="CU93" s="2">
        <f t="shared" si="77"/>
        <v>0</v>
      </c>
      <c r="CV93" s="2">
        <f t="shared" si="77"/>
        <v>0</v>
      </c>
      <c r="CW93" s="2">
        <f t="shared" si="77"/>
        <v>0</v>
      </c>
      <c r="CX93" s="2">
        <f t="shared" si="77"/>
        <v>0</v>
      </c>
      <c r="CY93" s="2">
        <f t="shared" si="77"/>
        <v>0</v>
      </c>
      <c r="CZ93" s="2">
        <f t="shared" si="77"/>
        <v>0</v>
      </c>
      <c r="DA93" s="2">
        <f t="shared" si="77"/>
        <v>0</v>
      </c>
      <c r="DB93" s="2">
        <f t="shared" si="77"/>
        <v>0</v>
      </c>
      <c r="DC93" s="2">
        <f t="shared" si="77"/>
        <v>0</v>
      </c>
      <c r="DD93" s="2">
        <f t="shared" si="77"/>
        <v>0</v>
      </c>
      <c r="DE93" s="2">
        <f t="shared" si="77"/>
        <v>0</v>
      </c>
      <c r="DF93" s="2">
        <f t="shared" si="77"/>
        <v>0</v>
      </c>
      <c r="DG93" s="3">
        <f t="shared" ref="DG93:EL93" si="78">DG126</f>
        <v>0</v>
      </c>
      <c r="DH93" s="3">
        <f t="shared" si="78"/>
        <v>0</v>
      </c>
      <c r="DI93" s="3">
        <f t="shared" si="78"/>
        <v>0</v>
      </c>
      <c r="DJ93" s="3">
        <f t="shared" si="78"/>
        <v>0</v>
      </c>
      <c r="DK93" s="3">
        <f t="shared" si="78"/>
        <v>0</v>
      </c>
      <c r="DL93" s="3">
        <f t="shared" si="78"/>
        <v>0</v>
      </c>
      <c r="DM93" s="3">
        <f t="shared" si="78"/>
        <v>0</v>
      </c>
      <c r="DN93" s="3">
        <f t="shared" si="78"/>
        <v>0</v>
      </c>
      <c r="DO93" s="3">
        <f t="shared" si="78"/>
        <v>0</v>
      </c>
      <c r="DP93" s="3">
        <f t="shared" si="78"/>
        <v>0</v>
      </c>
      <c r="DQ93" s="3">
        <f t="shared" si="78"/>
        <v>0</v>
      </c>
      <c r="DR93" s="3">
        <f t="shared" si="78"/>
        <v>0</v>
      </c>
      <c r="DS93" s="3">
        <f t="shared" si="78"/>
        <v>0</v>
      </c>
      <c r="DT93" s="3">
        <f t="shared" si="78"/>
        <v>0</v>
      </c>
      <c r="DU93" s="3">
        <f t="shared" si="78"/>
        <v>0</v>
      </c>
      <c r="DV93" s="3">
        <f t="shared" si="78"/>
        <v>0</v>
      </c>
      <c r="DW93" s="3">
        <f t="shared" si="78"/>
        <v>0</v>
      </c>
      <c r="DX93" s="3">
        <f t="shared" si="78"/>
        <v>0</v>
      </c>
      <c r="DY93" s="3">
        <f t="shared" si="78"/>
        <v>0</v>
      </c>
      <c r="DZ93" s="3">
        <f t="shared" si="78"/>
        <v>0</v>
      </c>
      <c r="EA93" s="3">
        <f t="shared" si="78"/>
        <v>0</v>
      </c>
      <c r="EB93" s="3">
        <f t="shared" si="78"/>
        <v>0</v>
      </c>
      <c r="EC93" s="3">
        <f t="shared" si="78"/>
        <v>0</v>
      </c>
      <c r="ED93" s="3">
        <f t="shared" si="78"/>
        <v>0</v>
      </c>
      <c r="EE93" s="3">
        <f t="shared" si="78"/>
        <v>0</v>
      </c>
      <c r="EF93" s="3">
        <f t="shared" si="78"/>
        <v>0</v>
      </c>
      <c r="EG93" s="3">
        <f t="shared" si="78"/>
        <v>0</v>
      </c>
      <c r="EH93" s="3">
        <f t="shared" si="78"/>
        <v>0</v>
      </c>
      <c r="EI93" s="3">
        <f t="shared" si="78"/>
        <v>0</v>
      </c>
      <c r="EJ93" s="3">
        <f t="shared" si="78"/>
        <v>0</v>
      </c>
      <c r="EK93" s="3">
        <f t="shared" si="78"/>
        <v>0</v>
      </c>
      <c r="EL93" s="3">
        <f t="shared" si="78"/>
        <v>0</v>
      </c>
      <c r="EM93" s="3">
        <f t="shared" ref="EM93:FR93" si="79">EM126</f>
        <v>0</v>
      </c>
      <c r="EN93" s="3">
        <f t="shared" si="79"/>
        <v>0</v>
      </c>
      <c r="EO93" s="3">
        <f t="shared" si="79"/>
        <v>0</v>
      </c>
      <c r="EP93" s="3">
        <f t="shared" si="79"/>
        <v>0</v>
      </c>
      <c r="EQ93" s="3">
        <f t="shared" si="79"/>
        <v>0</v>
      </c>
      <c r="ER93" s="3">
        <f t="shared" si="79"/>
        <v>0</v>
      </c>
      <c r="ES93" s="3">
        <f t="shared" si="79"/>
        <v>0</v>
      </c>
      <c r="ET93" s="3">
        <f t="shared" si="79"/>
        <v>0</v>
      </c>
      <c r="EU93" s="3">
        <f t="shared" si="79"/>
        <v>0</v>
      </c>
      <c r="EV93" s="3">
        <f t="shared" si="79"/>
        <v>0</v>
      </c>
      <c r="EW93" s="3">
        <f t="shared" si="79"/>
        <v>0</v>
      </c>
      <c r="EX93" s="3">
        <f t="shared" si="79"/>
        <v>0</v>
      </c>
      <c r="EY93" s="3">
        <f t="shared" si="79"/>
        <v>0</v>
      </c>
      <c r="EZ93" s="3">
        <f t="shared" si="79"/>
        <v>0</v>
      </c>
      <c r="FA93" s="3">
        <f t="shared" si="79"/>
        <v>0</v>
      </c>
      <c r="FB93" s="3">
        <f t="shared" si="79"/>
        <v>0</v>
      </c>
      <c r="FC93" s="3">
        <f t="shared" si="79"/>
        <v>0</v>
      </c>
      <c r="FD93" s="3">
        <f t="shared" si="79"/>
        <v>0</v>
      </c>
      <c r="FE93" s="3">
        <f t="shared" si="79"/>
        <v>0</v>
      </c>
      <c r="FF93" s="3">
        <f t="shared" si="79"/>
        <v>0</v>
      </c>
      <c r="FG93" s="3">
        <f t="shared" si="79"/>
        <v>0</v>
      </c>
      <c r="FH93" s="3">
        <f t="shared" si="79"/>
        <v>0</v>
      </c>
      <c r="FI93" s="3">
        <f t="shared" si="79"/>
        <v>0</v>
      </c>
      <c r="FJ93" s="3">
        <f t="shared" si="79"/>
        <v>0</v>
      </c>
      <c r="FK93" s="3">
        <f t="shared" si="79"/>
        <v>0</v>
      </c>
      <c r="FL93" s="3">
        <f t="shared" si="79"/>
        <v>0</v>
      </c>
      <c r="FM93" s="3">
        <f t="shared" si="79"/>
        <v>0</v>
      </c>
      <c r="FN93" s="3">
        <f t="shared" si="79"/>
        <v>0</v>
      </c>
      <c r="FO93" s="3">
        <f t="shared" si="79"/>
        <v>0</v>
      </c>
      <c r="FP93" s="3">
        <f t="shared" si="79"/>
        <v>0</v>
      </c>
      <c r="FQ93" s="3">
        <f t="shared" si="79"/>
        <v>0</v>
      </c>
      <c r="FR93" s="3">
        <f t="shared" si="79"/>
        <v>0</v>
      </c>
      <c r="FS93" s="3">
        <f t="shared" ref="FS93:GX93" si="80">FS126</f>
        <v>0</v>
      </c>
      <c r="FT93" s="3">
        <f t="shared" si="80"/>
        <v>0</v>
      </c>
      <c r="FU93" s="3">
        <f t="shared" si="80"/>
        <v>0</v>
      </c>
      <c r="FV93" s="3">
        <f t="shared" si="80"/>
        <v>0</v>
      </c>
      <c r="FW93" s="3">
        <f t="shared" si="80"/>
        <v>0</v>
      </c>
      <c r="FX93" s="3">
        <f t="shared" si="80"/>
        <v>0</v>
      </c>
      <c r="FY93" s="3">
        <f t="shared" si="80"/>
        <v>0</v>
      </c>
      <c r="FZ93" s="3">
        <f t="shared" si="80"/>
        <v>0</v>
      </c>
      <c r="GA93" s="3">
        <f t="shared" si="80"/>
        <v>0</v>
      </c>
      <c r="GB93" s="3">
        <f t="shared" si="80"/>
        <v>0</v>
      </c>
      <c r="GC93" s="3">
        <f t="shared" si="80"/>
        <v>0</v>
      </c>
      <c r="GD93" s="3">
        <f t="shared" si="80"/>
        <v>0</v>
      </c>
      <c r="GE93" s="3">
        <f t="shared" si="80"/>
        <v>0</v>
      </c>
      <c r="GF93" s="3">
        <f t="shared" si="80"/>
        <v>0</v>
      </c>
      <c r="GG93" s="3">
        <f t="shared" si="80"/>
        <v>0</v>
      </c>
      <c r="GH93" s="3">
        <f t="shared" si="80"/>
        <v>0</v>
      </c>
      <c r="GI93" s="3">
        <f t="shared" si="80"/>
        <v>0</v>
      </c>
      <c r="GJ93" s="3">
        <f t="shared" si="80"/>
        <v>0</v>
      </c>
      <c r="GK93" s="3">
        <f t="shared" si="80"/>
        <v>0</v>
      </c>
      <c r="GL93" s="3">
        <f t="shared" si="80"/>
        <v>0</v>
      </c>
      <c r="GM93" s="3">
        <f t="shared" si="80"/>
        <v>0</v>
      </c>
      <c r="GN93" s="3">
        <f t="shared" si="80"/>
        <v>0</v>
      </c>
      <c r="GO93" s="3">
        <f t="shared" si="80"/>
        <v>0</v>
      </c>
      <c r="GP93" s="3">
        <f t="shared" si="80"/>
        <v>0</v>
      </c>
      <c r="GQ93" s="3">
        <f t="shared" si="80"/>
        <v>0</v>
      </c>
      <c r="GR93" s="3">
        <f t="shared" si="80"/>
        <v>0</v>
      </c>
      <c r="GS93" s="3">
        <f t="shared" si="80"/>
        <v>0</v>
      </c>
      <c r="GT93" s="3">
        <f t="shared" si="80"/>
        <v>0</v>
      </c>
      <c r="GU93" s="3">
        <f t="shared" si="80"/>
        <v>0</v>
      </c>
      <c r="GV93" s="3">
        <f t="shared" si="80"/>
        <v>0</v>
      </c>
      <c r="GW93" s="3">
        <f t="shared" si="80"/>
        <v>0</v>
      </c>
      <c r="GX93" s="3">
        <f t="shared" si="80"/>
        <v>0</v>
      </c>
    </row>
    <row r="95" spans="1:245">
      <c r="A95">
        <v>17</v>
      </c>
      <c r="B95">
        <v>1</v>
      </c>
      <c r="E95" t="s">
        <v>186</v>
      </c>
      <c r="F95" t="s">
        <v>187</v>
      </c>
      <c r="G95" t="s">
        <v>188</v>
      </c>
      <c r="H95" t="s">
        <v>189</v>
      </c>
      <c r="I95">
        <f>ROUND(1/100,9)</f>
        <v>0.01</v>
      </c>
      <c r="J95">
        <v>0</v>
      </c>
      <c r="K95">
        <f>ROUND(1/100,9)</f>
        <v>0.01</v>
      </c>
      <c r="O95">
        <f t="shared" ref="O95:O124" si="81">ROUND(CP95,2)</f>
        <v>629.37</v>
      </c>
      <c r="P95">
        <f t="shared" ref="P95:P102" si="82">ROUND((ROUND((AC95*AW95*I95),2)*BC95),2)</f>
        <v>20.91</v>
      </c>
      <c r="Q95">
        <f>(ROUND((ROUND((((ET95*1.2))*AV95*I95),2)*BB95),2)+ROUND((ROUND(((AE95-((EU95*1.2)))*AV95*I95),2)*BS95),2))</f>
        <v>1.98</v>
      </c>
      <c r="R95">
        <f>(ROUND((ROUND((((EU95*1.2))*AV95*I95),2)*BS95),2)+ROUND((ROUND(((AE95-((EU95*1.2)))*AV95*I95),2)*BS95),2))</f>
        <v>1.1599999999999999</v>
      </c>
      <c r="S95">
        <f t="shared" ref="S95:S124" si="83">ROUND((ROUND((AF95*AV95*I95),2)*BA95),2)</f>
        <v>606.48</v>
      </c>
      <c r="T95">
        <f t="shared" ref="T95:T124" si="84">ROUND(CU95*I95,2)</f>
        <v>0</v>
      </c>
      <c r="U95">
        <f t="shared" ref="U95:U124" si="85">CV95*I95</f>
        <v>0.80844000000000005</v>
      </c>
      <c r="V95">
        <f t="shared" ref="V95:V124" si="86">CW95*I95</f>
        <v>0</v>
      </c>
      <c r="W95">
        <f t="shared" ref="W95:W124" si="87">ROUND(CX95*I95,2)</f>
        <v>0</v>
      </c>
      <c r="X95">
        <f>(ROUND((((S95+ROUND((ROUND((((EU95*1.2))*AV95*I95),2)*BS95),2))*AT95)/100),2)+ROUND(((ROUND((ROUND(((AE95-((EU95*1.2)))*AV95*I95),2)*BS95),2)*AT95)/100),2))</f>
        <v>589.41</v>
      </c>
      <c r="Y95">
        <f>(ROUND((((S95+ROUND((ROUND((((EU95*1.2))*AV95*I95),2)*BS95),2))*AU95)/100),2)+ROUND(((ROUND((ROUND(((AE95-((EU95*1.2)))*AV95*I95),2)*BS95),2)*AU95)/100),2))</f>
        <v>309.89999999999998</v>
      </c>
      <c r="AA95">
        <v>76282491</v>
      </c>
      <c r="AB95">
        <f t="shared" ref="AB95:AB124" si="88">ROUND((AC95+AD95+AF95),6)</f>
        <v>1918.136</v>
      </c>
      <c r="AC95">
        <f>ROUND(((ES95*1)),6)</f>
        <v>857</v>
      </c>
      <c r="AD95">
        <f>ROUND(((((ET95*1.2))-((EU95*1.2)))+AE95),6)</f>
        <v>10.968</v>
      </c>
      <c r="AE95">
        <f>ROUND(((EU95*1.2)),6)</f>
        <v>1.6679999999999999</v>
      </c>
      <c r="AF95">
        <f>ROUND(((EV95*1.2)),6)</f>
        <v>1050.1679999999999</v>
      </c>
      <c r="AG95">
        <f t="shared" ref="AG95:AG124" si="89">ROUND((AP95),6)</f>
        <v>0</v>
      </c>
      <c r="AH95">
        <f>((EW95*1.2))</f>
        <v>80.844000000000008</v>
      </c>
      <c r="AI95">
        <f>((EX95*1.2))</f>
        <v>0</v>
      </c>
      <c r="AJ95">
        <f t="shared" ref="AJ95:AJ124" si="90">(AS95)</f>
        <v>0</v>
      </c>
      <c r="AK95">
        <v>1741.28</v>
      </c>
      <c r="AL95">
        <v>857</v>
      </c>
      <c r="AM95">
        <v>9.14</v>
      </c>
      <c r="AN95">
        <v>1.39</v>
      </c>
      <c r="AO95">
        <v>875.14</v>
      </c>
      <c r="AP95">
        <v>0</v>
      </c>
      <c r="AQ95">
        <v>67.37</v>
      </c>
      <c r="AR95">
        <v>0</v>
      </c>
      <c r="AS95">
        <v>0</v>
      </c>
      <c r="AT95">
        <v>97</v>
      </c>
      <c r="AU95">
        <v>51</v>
      </c>
      <c r="AV95">
        <v>1</v>
      </c>
      <c r="AW95">
        <v>1</v>
      </c>
      <c r="AZ95">
        <v>1</v>
      </c>
      <c r="BA95">
        <v>57.76</v>
      </c>
      <c r="BB95">
        <v>18.02</v>
      </c>
      <c r="BC95">
        <v>2.44</v>
      </c>
      <c r="BD95" t="s">
        <v>3</v>
      </c>
      <c r="BE95" t="s">
        <v>3</v>
      </c>
      <c r="BF95" t="s">
        <v>3</v>
      </c>
      <c r="BG95" t="s">
        <v>3</v>
      </c>
      <c r="BH95">
        <v>0</v>
      </c>
      <c r="BI95">
        <v>2</v>
      </c>
      <c r="BJ95" t="s">
        <v>190</v>
      </c>
      <c r="BM95">
        <v>67</v>
      </c>
      <c r="BN95">
        <v>0</v>
      </c>
      <c r="BO95" t="s">
        <v>187</v>
      </c>
      <c r="BP95">
        <v>1</v>
      </c>
      <c r="BQ95">
        <v>40</v>
      </c>
      <c r="BR95">
        <v>0</v>
      </c>
      <c r="BS95">
        <v>57.76</v>
      </c>
      <c r="BT95">
        <v>1</v>
      </c>
      <c r="BU95">
        <v>1</v>
      </c>
      <c r="BV95">
        <v>1</v>
      </c>
      <c r="BW95">
        <v>1</v>
      </c>
      <c r="BX95">
        <v>1</v>
      </c>
      <c r="BY95" t="s">
        <v>3</v>
      </c>
      <c r="BZ95">
        <v>97</v>
      </c>
      <c r="CA95">
        <v>51</v>
      </c>
      <c r="CB95" t="s">
        <v>3</v>
      </c>
      <c r="CE95">
        <v>1566</v>
      </c>
      <c r="CF95">
        <v>0</v>
      </c>
      <c r="CG95">
        <v>0</v>
      </c>
      <c r="CM95">
        <v>0</v>
      </c>
      <c r="CN95" t="s">
        <v>454</v>
      </c>
      <c r="CO95">
        <v>0</v>
      </c>
      <c r="CP95">
        <f t="shared" ref="CP95:CP124" si="91">(P95+Q95+S95)</f>
        <v>629.37</v>
      </c>
      <c r="CQ95">
        <f t="shared" ref="CQ95:CQ102" si="92">ROUND((ROUND((AC95*AW95*1),2)*BC95),2)</f>
        <v>2091.08</v>
      </c>
      <c r="CR95">
        <f>(ROUND((ROUND((((ET95*1.2))*AV95*1),2)*BB95),2)+ROUND((ROUND(((AE95-((EU95*1.2)))*AV95*1),2)*BS95),2))</f>
        <v>197.68</v>
      </c>
      <c r="CS95">
        <f>(ROUND((ROUND((((EU95*1.2))*AV95*1),2)*BS95),2)+ROUND((ROUND(((AE95-((EU95*1.2)))*AV95*1),2)*BS95),2))</f>
        <v>96.46</v>
      </c>
      <c r="CT95">
        <f t="shared" ref="CT95:CT124" si="93">ROUND((ROUND((AF95*AV95*1),2)*BA95),2)</f>
        <v>60657.82</v>
      </c>
      <c r="CU95">
        <f t="shared" ref="CU95:CU124" si="94">AG95</f>
        <v>0</v>
      </c>
      <c r="CV95">
        <f t="shared" ref="CV95:CV124" si="95">(AH95*AV95)</f>
        <v>80.844000000000008</v>
      </c>
      <c r="CW95">
        <f t="shared" ref="CW95:CW124" si="96">AI95</f>
        <v>0</v>
      </c>
      <c r="CX95">
        <f t="shared" ref="CX95:CX124" si="97">AJ95</f>
        <v>0</v>
      </c>
      <c r="CY95">
        <f>(ROUND((((S95+ROUND((ROUND((((EU95*1.2))*AV95*1),2)*BS95),2))*AT95)/100),2)+ROUND(((ROUND((ROUND(((AE95-((EU95*1.2)))*AV95*1),2)*BS95),2)*AT95)/100),2))</f>
        <v>681.85</v>
      </c>
      <c r="CZ95">
        <f>(ROUND((((S95+ROUND((ROUND((((EU95*1.2))*AV95*1),2)*BS95),2))*AU95)/100),2)+ROUND(((ROUND((ROUND(((AE95-((EU95*1.2)))*AV95*1),2)*BS95),2)*AU95)/100),2))</f>
        <v>358.5</v>
      </c>
      <c r="DB95">
        <v>7</v>
      </c>
      <c r="DC95" t="s">
        <v>3</v>
      </c>
      <c r="DD95" t="s">
        <v>60</v>
      </c>
      <c r="DE95" t="s">
        <v>61</v>
      </c>
      <c r="DF95" t="s">
        <v>61</v>
      </c>
      <c r="DG95" t="s">
        <v>61</v>
      </c>
      <c r="DH95" t="s">
        <v>3</v>
      </c>
      <c r="DI95" t="s">
        <v>61</v>
      </c>
      <c r="DJ95" t="s">
        <v>61</v>
      </c>
      <c r="DK95" t="s">
        <v>3</v>
      </c>
      <c r="DL95" t="s">
        <v>3</v>
      </c>
      <c r="DM95" t="s">
        <v>3</v>
      </c>
      <c r="DN95">
        <v>0</v>
      </c>
      <c r="DO95">
        <v>0</v>
      </c>
      <c r="DP95">
        <v>1</v>
      </c>
      <c r="DQ95">
        <v>1</v>
      </c>
      <c r="DU95">
        <v>1010</v>
      </c>
      <c r="DV95" t="s">
        <v>189</v>
      </c>
      <c r="DW95" t="s">
        <v>189</v>
      </c>
      <c r="DX95">
        <v>100</v>
      </c>
      <c r="DZ95" t="s">
        <v>3</v>
      </c>
      <c r="EA95" t="s">
        <v>3</v>
      </c>
      <c r="EB95" t="s">
        <v>3</v>
      </c>
      <c r="EC95" t="s">
        <v>3</v>
      </c>
      <c r="EE95">
        <v>76282301</v>
      </c>
      <c r="EF95">
        <v>40</v>
      </c>
      <c r="EG95" t="s">
        <v>20</v>
      </c>
      <c r="EH95">
        <v>0</v>
      </c>
      <c r="EI95" t="s">
        <v>3</v>
      </c>
      <c r="EJ95">
        <v>2</v>
      </c>
      <c r="EK95">
        <v>67</v>
      </c>
      <c r="EL95" t="s">
        <v>21</v>
      </c>
      <c r="EM95" t="s">
        <v>22</v>
      </c>
      <c r="EO95" t="s">
        <v>62</v>
      </c>
      <c r="EQ95">
        <v>131072</v>
      </c>
      <c r="ER95">
        <v>1741.28</v>
      </c>
      <c r="ES95">
        <v>857</v>
      </c>
      <c r="ET95">
        <v>9.14</v>
      </c>
      <c r="EU95">
        <v>1.39</v>
      </c>
      <c r="EV95">
        <v>875.14</v>
      </c>
      <c r="EW95">
        <v>67.37</v>
      </c>
      <c r="EX95">
        <v>0</v>
      </c>
      <c r="EY95">
        <v>0</v>
      </c>
      <c r="FQ95">
        <v>0</v>
      </c>
      <c r="FR95">
        <v>0</v>
      </c>
      <c r="FS95">
        <v>0</v>
      </c>
      <c r="FX95">
        <v>97</v>
      </c>
      <c r="FY95">
        <v>51</v>
      </c>
      <c r="GA95" t="s">
        <v>3</v>
      </c>
      <c r="GD95">
        <v>1</v>
      </c>
      <c r="GF95">
        <v>693897660</v>
      </c>
      <c r="GG95">
        <v>2</v>
      </c>
      <c r="GH95">
        <v>0</v>
      </c>
      <c r="GI95">
        <v>2</v>
      </c>
      <c r="GJ95">
        <v>0</v>
      </c>
      <c r="GK95">
        <v>0</v>
      </c>
      <c r="GL95">
        <f t="shared" ref="GL95:GL124" si="98">ROUND(IF(AND(BH95=3,BI95=3,FS95&lt;&gt;0),P95,0),2)</f>
        <v>0</v>
      </c>
      <c r="GM95">
        <f t="shared" ref="GM95:GM124" si="99">ROUND(O95+X95+Y95,2)+GX95</f>
        <v>1528.68</v>
      </c>
      <c r="GN95">
        <f t="shared" ref="GN95:GN124" si="100">IF(OR(BI95=0,BI95=1),GM95-GX95,0)</f>
        <v>0</v>
      </c>
      <c r="GO95">
        <f t="shared" ref="GO95:GO124" si="101">IF(BI95=2,GM95-GX95,0)</f>
        <v>1528.68</v>
      </c>
      <c r="GP95">
        <f t="shared" ref="GP95:GP124" si="102">IF(BI95=4,GM95-GX95,0)</f>
        <v>0</v>
      </c>
      <c r="GR95">
        <v>0</v>
      </c>
      <c r="GS95">
        <v>7</v>
      </c>
      <c r="GT95">
        <v>0</v>
      </c>
      <c r="GU95" t="s">
        <v>3</v>
      </c>
      <c r="GV95">
        <f t="shared" ref="GV95:GV124" si="103">ROUND((GT95),6)</f>
        <v>0</v>
      </c>
      <c r="GW95">
        <v>1</v>
      </c>
      <c r="GX95">
        <f t="shared" ref="GX95:GX124" si="104">ROUND(HC95*I95,2)</f>
        <v>0</v>
      </c>
      <c r="HA95">
        <v>0</v>
      </c>
      <c r="HB95">
        <v>0</v>
      </c>
      <c r="HC95">
        <f t="shared" ref="HC95:HC124" si="105">GV95*GW95</f>
        <v>0</v>
      </c>
      <c r="HE95" t="s">
        <v>3</v>
      </c>
      <c r="HF95" t="s">
        <v>3</v>
      </c>
      <c r="HM95" t="s">
        <v>3</v>
      </c>
      <c r="HN95" t="s">
        <v>3</v>
      </c>
      <c r="HO95" t="s">
        <v>3</v>
      </c>
      <c r="HP95" t="s">
        <v>3</v>
      </c>
      <c r="HQ95" t="s">
        <v>3</v>
      </c>
      <c r="HS95">
        <v>0</v>
      </c>
      <c r="IK95">
        <v>0</v>
      </c>
    </row>
    <row r="96" spans="1:245">
      <c r="A96">
        <v>18</v>
      </c>
      <c r="B96">
        <v>1</v>
      </c>
      <c r="E96" t="s">
        <v>191</v>
      </c>
      <c r="F96" t="s">
        <v>192</v>
      </c>
      <c r="G96" t="s">
        <v>193</v>
      </c>
      <c r="H96" t="s">
        <v>32</v>
      </c>
      <c r="I96">
        <f>I95*J96</f>
        <v>1.02</v>
      </c>
      <c r="J96">
        <v>102</v>
      </c>
      <c r="K96">
        <v>102</v>
      </c>
      <c r="O96">
        <f t="shared" si="81"/>
        <v>0</v>
      </c>
      <c r="P96">
        <f t="shared" si="82"/>
        <v>0</v>
      </c>
      <c r="Q96">
        <f>(ROUND((ROUND(((ET96)*AV96*I96),2)*BB96),2)+ROUND((ROUND(((AE96-(EU96))*AV96*I96),2)*BS96),2))</f>
        <v>0</v>
      </c>
      <c r="R96">
        <f>(ROUND((ROUND(((EU96)*AV96*I96),2)*BS96),2)+ROUND((ROUND(((AE96-(EU96))*AV96*I96),2)*BS96),2))</f>
        <v>0</v>
      </c>
      <c r="S96">
        <f t="shared" si="83"/>
        <v>0</v>
      </c>
      <c r="T96">
        <f t="shared" si="84"/>
        <v>0</v>
      </c>
      <c r="U96">
        <f t="shared" si="85"/>
        <v>0</v>
      </c>
      <c r="V96">
        <f t="shared" si="86"/>
        <v>0</v>
      </c>
      <c r="W96">
        <f t="shared" si="87"/>
        <v>0</v>
      </c>
      <c r="X96">
        <f>(ROUND((((S96+ROUND((ROUND(((EU96)*AV96*I96),2)*BS96),2))*AT96)/100),2)+ROUND(((ROUND((ROUND(((AE96-(EU96))*AV96*I96),2)*BS96),2)*AT96)/100),2))</f>
        <v>0</v>
      </c>
      <c r="Y96">
        <f>(ROUND((((S96+ROUND((ROUND(((EU96)*AV96*I96),2)*BS96),2))*AU96)/100),2)+ROUND(((ROUND((ROUND(((AE96-(EU96))*AV96*I96),2)*BS96),2)*AU96)/100),2))</f>
        <v>0</v>
      </c>
      <c r="AA96">
        <v>76282491</v>
      </c>
      <c r="AB96">
        <f t="shared" si="88"/>
        <v>0</v>
      </c>
      <c r="AC96">
        <f>ROUND((ES96),6)</f>
        <v>0</v>
      </c>
      <c r="AD96">
        <f>ROUND((((ET96)-(EU96))+AE96),6)</f>
        <v>0</v>
      </c>
      <c r="AE96">
        <f>ROUND((EU96),6)</f>
        <v>0</v>
      </c>
      <c r="AF96">
        <f>ROUND((EV96),6)</f>
        <v>0</v>
      </c>
      <c r="AG96">
        <f t="shared" si="89"/>
        <v>0</v>
      </c>
      <c r="AH96">
        <f>(EW96)</f>
        <v>0</v>
      </c>
      <c r="AI96">
        <f>(EX96)</f>
        <v>0</v>
      </c>
      <c r="AJ96">
        <f t="shared" si="90"/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97</v>
      </c>
      <c r="AU96">
        <v>51</v>
      </c>
      <c r="AV96">
        <v>1</v>
      </c>
      <c r="AW96">
        <v>1</v>
      </c>
      <c r="AZ96">
        <v>1</v>
      </c>
      <c r="BA96">
        <v>1</v>
      </c>
      <c r="BB96">
        <v>1</v>
      </c>
      <c r="BC96">
        <v>1</v>
      </c>
      <c r="BD96" t="s">
        <v>3</v>
      </c>
      <c r="BE96" t="s">
        <v>3</v>
      </c>
      <c r="BF96" t="s">
        <v>3</v>
      </c>
      <c r="BG96" t="s">
        <v>3</v>
      </c>
      <c r="BH96">
        <v>3</v>
      </c>
      <c r="BI96">
        <v>2</v>
      </c>
      <c r="BJ96" t="s">
        <v>3</v>
      </c>
      <c r="BM96">
        <v>67</v>
      </c>
      <c r="BN96">
        <v>0</v>
      </c>
      <c r="BO96" t="s">
        <v>3</v>
      </c>
      <c r="BP96">
        <v>0</v>
      </c>
      <c r="BQ96">
        <v>40</v>
      </c>
      <c r="BR96">
        <v>0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 t="s">
        <v>3</v>
      </c>
      <c r="BZ96">
        <v>97</v>
      </c>
      <c r="CA96">
        <v>51</v>
      </c>
      <c r="CB96" t="s">
        <v>3</v>
      </c>
      <c r="CE96">
        <v>1566</v>
      </c>
      <c r="CF96">
        <v>0</v>
      </c>
      <c r="CG96">
        <v>0</v>
      </c>
      <c r="CM96">
        <v>0</v>
      </c>
      <c r="CN96" t="s">
        <v>454</v>
      </c>
      <c r="CO96">
        <v>0</v>
      </c>
      <c r="CP96">
        <f t="shared" si="91"/>
        <v>0</v>
      </c>
      <c r="CQ96">
        <f t="shared" si="92"/>
        <v>0</v>
      </c>
      <c r="CR96">
        <f>(ROUND((ROUND(((ET96)*AV96*1),2)*BB96),2)+ROUND((ROUND(((AE96-(EU96))*AV96*1),2)*BS96),2))</f>
        <v>0</v>
      </c>
      <c r="CS96">
        <f>(ROUND((ROUND(((EU96)*AV96*1),2)*BS96),2)+ROUND((ROUND(((AE96-(EU96))*AV96*1),2)*BS96),2))</f>
        <v>0</v>
      </c>
      <c r="CT96">
        <f t="shared" si="93"/>
        <v>0</v>
      </c>
      <c r="CU96">
        <f t="shared" si="94"/>
        <v>0</v>
      </c>
      <c r="CV96">
        <f t="shared" si="95"/>
        <v>0</v>
      </c>
      <c r="CW96">
        <f t="shared" si="96"/>
        <v>0</v>
      </c>
      <c r="CX96">
        <f t="shared" si="97"/>
        <v>0</v>
      </c>
      <c r="CY96">
        <f>(ROUND((((S96+ROUND((ROUND(((EU96)*AV96*1),2)*BS96),2))*AT96)/100),2)+ROUND(((ROUND((ROUND(((AE96-(EU96))*AV96*1),2)*BS96),2)*AT96)/100),2))</f>
        <v>0</v>
      </c>
      <c r="CZ96">
        <f>(ROUND((((S96+ROUND((ROUND(((EU96)*AV96*1),2)*BS96),2))*AU96)/100),2)+ROUND(((ROUND((ROUND(((AE96-(EU96))*AV96*1),2)*BS96),2)*AU96)/100),2))</f>
        <v>0</v>
      </c>
      <c r="DC96" t="s">
        <v>3</v>
      </c>
      <c r="DD96" t="s">
        <v>3</v>
      </c>
      <c r="DE96" t="s">
        <v>3</v>
      </c>
      <c r="DF96" t="s">
        <v>3</v>
      </c>
      <c r="DG96" t="s">
        <v>3</v>
      </c>
      <c r="DH96" t="s">
        <v>3</v>
      </c>
      <c r="DI96" t="s">
        <v>3</v>
      </c>
      <c r="DJ96" t="s">
        <v>3</v>
      </c>
      <c r="DK96" t="s">
        <v>3</v>
      </c>
      <c r="DL96" t="s">
        <v>3</v>
      </c>
      <c r="DM96" t="s">
        <v>3</v>
      </c>
      <c r="DN96">
        <v>0</v>
      </c>
      <c r="DO96">
        <v>0</v>
      </c>
      <c r="DP96">
        <v>1</v>
      </c>
      <c r="DQ96">
        <v>1</v>
      </c>
      <c r="DU96">
        <v>1010</v>
      </c>
      <c r="DV96" t="s">
        <v>32</v>
      </c>
      <c r="DW96" t="s">
        <v>32</v>
      </c>
      <c r="DX96">
        <v>1</v>
      </c>
      <c r="DZ96" t="s">
        <v>3</v>
      </c>
      <c r="EA96" t="s">
        <v>3</v>
      </c>
      <c r="EB96" t="s">
        <v>3</v>
      </c>
      <c r="EC96" t="s">
        <v>3</v>
      </c>
      <c r="EE96">
        <v>76282301</v>
      </c>
      <c r="EF96">
        <v>40</v>
      </c>
      <c r="EG96" t="s">
        <v>20</v>
      </c>
      <c r="EH96">
        <v>0</v>
      </c>
      <c r="EI96" t="s">
        <v>3</v>
      </c>
      <c r="EJ96">
        <v>2</v>
      </c>
      <c r="EK96">
        <v>67</v>
      </c>
      <c r="EL96" t="s">
        <v>21</v>
      </c>
      <c r="EM96" t="s">
        <v>22</v>
      </c>
      <c r="EO96" t="s">
        <v>62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FQ96">
        <v>0</v>
      </c>
      <c r="FR96">
        <v>0</v>
      </c>
      <c r="FS96">
        <v>0</v>
      </c>
      <c r="FX96">
        <v>97</v>
      </c>
      <c r="FY96">
        <v>51</v>
      </c>
      <c r="GA96" t="s">
        <v>3</v>
      </c>
      <c r="GD96">
        <v>1</v>
      </c>
      <c r="GF96">
        <v>-563062041</v>
      </c>
      <c r="GG96">
        <v>2</v>
      </c>
      <c r="GH96">
        <v>0</v>
      </c>
      <c r="GI96">
        <v>-2</v>
      </c>
      <c r="GJ96">
        <v>0</v>
      </c>
      <c r="GK96">
        <v>0</v>
      </c>
      <c r="GL96">
        <f t="shared" si="98"/>
        <v>0</v>
      </c>
      <c r="GM96">
        <f t="shared" si="99"/>
        <v>0</v>
      </c>
      <c r="GN96">
        <f t="shared" si="100"/>
        <v>0</v>
      </c>
      <c r="GO96">
        <f t="shared" si="101"/>
        <v>0</v>
      </c>
      <c r="GP96">
        <f t="shared" si="102"/>
        <v>0</v>
      </c>
      <c r="GR96">
        <v>0</v>
      </c>
      <c r="GS96">
        <v>0</v>
      </c>
      <c r="GT96">
        <v>0</v>
      </c>
      <c r="GU96" t="s">
        <v>3</v>
      </c>
      <c r="GV96">
        <f t="shared" si="103"/>
        <v>0</v>
      </c>
      <c r="GW96">
        <v>1</v>
      </c>
      <c r="GX96">
        <f t="shared" si="104"/>
        <v>0</v>
      </c>
      <c r="HA96">
        <v>0</v>
      </c>
      <c r="HB96">
        <v>0</v>
      </c>
      <c r="HC96">
        <f t="shared" si="105"/>
        <v>0</v>
      </c>
      <c r="HE96" t="s">
        <v>3</v>
      </c>
      <c r="HF96" t="s">
        <v>3</v>
      </c>
      <c r="HM96" t="s">
        <v>60</v>
      </c>
      <c r="HN96" t="s">
        <v>3</v>
      </c>
      <c r="HO96" t="s">
        <v>3</v>
      </c>
      <c r="HP96" t="s">
        <v>3</v>
      </c>
      <c r="HQ96" t="s">
        <v>3</v>
      </c>
      <c r="HS96">
        <v>0</v>
      </c>
      <c r="IK96">
        <v>0</v>
      </c>
    </row>
    <row r="97" spans="1:245">
      <c r="A97">
        <v>17</v>
      </c>
      <c r="B97">
        <v>1</v>
      </c>
      <c r="E97" t="s">
        <v>194</v>
      </c>
      <c r="F97" t="s">
        <v>51</v>
      </c>
      <c r="G97" t="s">
        <v>195</v>
      </c>
      <c r="H97" t="s">
        <v>32</v>
      </c>
      <c r="I97">
        <v>1</v>
      </c>
      <c r="J97">
        <v>0</v>
      </c>
      <c r="K97">
        <v>1</v>
      </c>
      <c r="O97">
        <f t="shared" si="81"/>
        <v>2522.46</v>
      </c>
      <c r="P97">
        <f t="shared" si="82"/>
        <v>2522.46</v>
      </c>
      <c r="Q97">
        <f>(ROUND((ROUND(((ET97)*AV97*I97),2)*BB97),2)+ROUND((ROUND(((AE97-(EU97))*AV97*I97),2)*BS97),2))</f>
        <v>0</v>
      </c>
      <c r="R97">
        <f>(ROUND((ROUND(((EU97)*AV97*I97),2)*BS97),2)+ROUND((ROUND(((AE97-(EU97))*AV97*I97),2)*BS97),2))</f>
        <v>0</v>
      </c>
      <c r="S97">
        <f t="shared" si="83"/>
        <v>0</v>
      </c>
      <c r="T97">
        <f t="shared" si="84"/>
        <v>0</v>
      </c>
      <c r="U97">
        <f t="shared" si="85"/>
        <v>0</v>
      </c>
      <c r="V97">
        <f t="shared" si="86"/>
        <v>0</v>
      </c>
      <c r="W97">
        <f t="shared" si="87"/>
        <v>0</v>
      </c>
      <c r="X97">
        <f>(ROUND((((S97+ROUND((ROUND(((EU97)*AV97*I97),2)*BS97),2))*AT97)/100),2)+ROUND(((ROUND((ROUND(((AE97-(EU97))*AV97*I97),2)*BS97),2)*AT97)/100),2))</f>
        <v>0</v>
      </c>
      <c r="Y97">
        <f>(ROUND((((S97+ROUND((ROUND(((EU97)*AV97*I97),2)*BS97),2))*AU97)/100),2)+ROUND(((ROUND((ROUND(((AE97-(EU97))*AV97*I97),2)*BS97),2)*AU97)/100),2))</f>
        <v>0</v>
      </c>
      <c r="AA97">
        <v>76282491</v>
      </c>
      <c r="AB97">
        <f t="shared" si="88"/>
        <v>2522.46</v>
      </c>
      <c r="AC97">
        <f>ROUND((ES97),6)</f>
        <v>2522.46</v>
      </c>
      <c r="AD97">
        <f>ROUND((((ET97)-(EU97))+AE97),6)</f>
        <v>0</v>
      </c>
      <c r="AE97">
        <f>ROUND((EU97),6)</f>
        <v>0</v>
      </c>
      <c r="AF97">
        <f>ROUND((EV97),6)</f>
        <v>0</v>
      </c>
      <c r="AG97">
        <f t="shared" si="89"/>
        <v>0</v>
      </c>
      <c r="AH97">
        <f>(EW97)</f>
        <v>0</v>
      </c>
      <c r="AI97">
        <f>(EX97)</f>
        <v>0</v>
      </c>
      <c r="AJ97">
        <f t="shared" si="90"/>
        <v>0</v>
      </c>
      <c r="AK97">
        <v>2522.46</v>
      </c>
      <c r="AL97">
        <v>2522.46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1</v>
      </c>
      <c r="AZ97">
        <v>1</v>
      </c>
      <c r="BA97">
        <v>1</v>
      </c>
      <c r="BB97">
        <v>1</v>
      </c>
      <c r="BC97">
        <v>1</v>
      </c>
      <c r="BD97" t="s">
        <v>3</v>
      </c>
      <c r="BE97" t="s">
        <v>3</v>
      </c>
      <c r="BF97" t="s">
        <v>3</v>
      </c>
      <c r="BG97" t="s">
        <v>3</v>
      </c>
      <c r="BH97">
        <v>3</v>
      </c>
      <c r="BI97">
        <v>1</v>
      </c>
      <c r="BJ97" t="s">
        <v>3</v>
      </c>
      <c r="BM97">
        <v>400002</v>
      </c>
      <c r="BN97">
        <v>0</v>
      </c>
      <c r="BO97" t="s">
        <v>3</v>
      </c>
      <c r="BP97">
        <v>0</v>
      </c>
      <c r="BQ97">
        <v>202</v>
      </c>
      <c r="BR97">
        <v>0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 t="s">
        <v>3</v>
      </c>
      <c r="BZ97">
        <v>0</v>
      </c>
      <c r="CA97">
        <v>0</v>
      </c>
      <c r="CB97" t="s">
        <v>3</v>
      </c>
      <c r="CE97">
        <v>1566</v>
      </c>
      <c r="CF97">
        <v>0</v>
      </c>
      <c r="CG97">
        <v>0</v>
      </c>
      <c r="CM97">
        <v>0</v>
      </c>
      <c r="CN97" t="s">
        <v>3</v>
      </c>
      <c r="CO97">
        <v>0</v>
      </c>
      <c r="CP97">
        <f t="shared" si="91"/>
        <v>2522.46</v>
      </c>
      <c r="CQ97">
        <f t="shared" si="92"/>
        <v>2522.46</v>
      </c>
      <c r="CR97">
        <f>(ROUND((ROUND(((ET97)*AV97*1),2)*BB97),2)+ROUND((ROUND(((AE97-(EU97))*AV97*1),2)*BS97),2))</f>
        <v>0</v>
      </c>
      <c r="CS97">
        <f>(ROUND((ROUND(((EU97)*AV97*1),2)*BS97),2)+ROUND((ROUND(((AE97-(EU97))*AV97*1),2)*BS97),2))</f>
        <v>0</v>
      </c>
      <c r="CT97">
        <f t="shared" si="93"/>
        <v>0</v>
      </c>
      <c r="CU97">
        <f t="shared" si="94"/>
        <v>0</v>
      </c>
      <c r="CV97">
        <f t="shared" si="95"/>
        <v>0</v>
      </c>
      <c r="CW97">
        <f t="shared" si="96"/>
        <v>0</v>
      </c>
      <c r="CX97">
        <f t="shared" si="97"/>
        <v>0</v>
      </c>
      <c r="CY97">
        <f>(ROUND((((S97+ROUND((ROUND(((EU97)*AV97*1),2)*BS97),2))*AT97)/100),2)+ROUND(((ROUND((ROUND(((AE97-(EU97))*AV97*1),2)*BS97),2)*AT97)/100),2))</f>
        <v>0</v>
      </c>
      <c r="CZ97">
        <f>(ROUND((((S97+ROUND((ROUND(((EU97)*AV97*1),2)*BS97),2))*AU97)/100),2)+ROUND(((ROUND((ROUND(((AE97-(EU97))*AV97*1),2)*BS97),2)*AU97)/100),2))</f>
        <v>0</v>
      </c>
      <c r="DC97" t="s">
        <v>3</v>
      </c>
      <c r="DD97" t="s">
        <v>3</v>
      </c>
      <c r="DE97" t="s">
        <v>3</v>
      </c>
      <c r="DF97" t="s">
        <v>3</v>
      </c>
      <c r="DG97" t="s">
        <v>3</v>
      </c>
      <c r="DH97" t="s">
        <v>3</v>
      </c>
      <c r="DI97" t="s">
        <v>3</v>
      </c>
      <c r="DJ97" t="s">
        <v>3</v>
      </c>
      <c r="DK97" t="s">
        <v>3</v>
      </c>
      <c r="DL97" t="s">
        <v>3</v>
      </c>
      <c r="DM97" t="s">
        <v>3</v>
      </c>
      <c r="DN97">
        <v>0</v>
      </c>
      <c r="DO97">
        <v>0</v>
      </c>
      <c r="DP97">
        <v>1</v>
      </c>
      <c r="DQ97">
        <v>1</v>
      </c>
      <c r="DU97">
        <v>1010</v>
      </c>
      <c r="DV97" t="s">
        <v>32</v>
      </c>
      <c r="DW97" t="s">
        <v>32</v>
      </c>
      <c r="DX97">
        <v>1</v>
      </c>
      <c r="DZ97" t="s">
        <v>3</v>
      </c>
      <c r="EA97" t="s">
        <v>3</v>
      </c>
      <c r="EB97" t="s">
        <v>3</v>
      </c>
      <c r="EC97" t="s">
        <v>3</v>
      </c>
      <c r="EE97">
        <v>76282439</v>
      </c>
      <c r="EF97">
        <v>202</v>
      </c>
      <c r="EG97" t="s">
        <v>196</v>
      </c>
      <c r="EH97">
        <v>0</v>
      </c>
      <c r="EI97" t="s">
        <v>3</v>
      </c>
      <c r="EJ97">
        <v>1</v>
      </c>
      <c r="EK97">
        <v>400002</v>
      </c>
      <c r="EL97" t="s">
        <v>197</v>
      </c>
      <c r="EM97" t="s">
        <v>196</v>
      </c>
      <c r="EO97" t="s">
        <v>3</v>
      </c>
      <c r="EQ97">
        <v>131072</v>
      </c>
      <c r="ER97">
        <v>2522.46</v>
      </c>
      <c r="ES97">
        <v>2522.46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5</v>
      </c>
      <c r="FC97">
        <v>0</v>
      </c>
      <c r="FD97">
        <v>18</v>
      </c>
      <c r="FF97">
        <v>2473</v>
      </c>
      <c r="FQ97">
        <v>0</v>
      </c>
      <c r="FR97">
        <v>0</v>
      </c>
      <c r="FS97">
        <v>0</v>
      </c>
      <c r="FX97">
        <v>0</v>
      </c>
      <c r="FY97">
        <v>0</v>
      </c>
      <c r="GA97" t="s">
        <v>198</v>
      </c>
      <c r="GD97">
        <v>1</v>
      </c>
      <c r="GF97">
        <v>-272102720</v>
      </c>
      <c r="GG97">
        <v>2</v>
      </c>
      <c r="GH97">
        <v>3</v>
      </c>
      <c r="GI97">
        <v>-2</v>
      </c>
      <c r="GJ97">
        <v>0</v>
      </c>
      <c r="GK97">
        <v>0</v>
      </c>
      <c r="GL97">
        <f t="shared" si="98"/>
        <v>0</v>
      </c>
      <c r="GM97">
        <f t="shared" si="99"/>
        <v>2522.46</v>
      </c>
      <c r="GN97">
        <f t="shared" si="100"/>
        <v>2522.46</v>
      </c>
      <c r="GO97">
        <f t="shared" si="101"/>
        <v>0</v>
      </c>
      <c r="GP97">
        <f t="shared" si="102"/>
        <v>0</v>
      </c>
      <c r="GR97">
        <v>1</v>
      </c>
      <c r="GS97">
        <v>1</v>
      </c>
      <c r="GT97">
        <v>0</v>
      </c>
      <c r="GU97" t="s">
        <v>3</v>
      </c>
      <c r="GV97">
        <f t="shared" si="103"/>
        <v>0</v>
      </c>
      <c r="GW97">
        <v>1</v>
      </c>
      <c r="GX97">
        <f t="shared" si="104"/>
        <v>0</v>
      </c>
      <c r="HA97">
        <v>0</v>
      </c>
      <c r="HB97">
        <v>0</v>
      </c>
      <c r="HC97">
        <f t="shared" si="105"/>
        <v>0</v>
      </c>
      <c r="HE97" t="s">
        <v>57</v>
      </c>
      <c r="HF97" t="s">
        <v>40</v>
      </c>
      <c r="HM97" t="s">
        <v>3</v>
      </c>
      <c r="HN97" t="s">
        <v>3</v>
      </c>
      <c r="HO97" t="s">
        <v>3</v>
      </c>
      <c r="HP97" t="s">
        <v>3</v>
      </c>
      <c r="HQ97" t="s">
        <v>3</v>
      </c>
      <c r="HS97">
        <v>0</v>
      </c>
      <c r="IK97">
        <v>0</v>
      </c>
    </row>
    <row r="98" spans="1:245">
      <c r="A98">
        <v>17</v>
      </c>
      <c r="B98">
        <v>1</v>
      </c>
      <c r="E98" t="s">
        <v>199</v>
      </c>
      <c r="F98" t="s">
        <v>14</v>
      </c>
      <c r="G98" t="s">
        <v>59</v>
      </c>
      <c r="H98" t="s">
        <v>16</v>
      </c>
      <c r="I98">
        <v>1</v>
      </c>
      <c r="J98">
        <v>0</v>
      </c>
      <c r="K98">
        <v>1</v>
      </c>
      <c r="O98">
        <f t="shared" si="81"/>
        <v>1322.74</v>
      </c>
      <c r="P98">
        <f t="shared" si="82"/>
        <v>153.38999999999999</v>
      </c>
      <c r="Q98">
        <f>(ROUND((ROUND((((ET98*1.2))*AV98*I98),2)*BB98),2)+ROUND((ROUND(((AE98-((EU98*1.2)))*AV98*I98),2)*BS98),2))</f>
        <v>11.84</v>
      </c>
      <c r="R98">
        <f>(ROUND((ROUND((((EU98*1.2))*AV98*I98),2)*BS98),2)+ROUND((ROUND(((AE98-((EU98*1.2)))*AV98*I98),2)*BS98),2))</f>
        <v>0</v>
      </c>
      <c r="S98">
        <f t="shared" si="83"/>
        <v>1157.51</v>
      </c>
      <c r="T98">
        <f t="shared" si="84"/>
        <v>0</v>
      </c>
      <c r="U98">
        <f t="shared" si="85"/>
        <v>1.6080000000000001</v>
      </c>
      <c r="V98">
        <f t="shared" si="86"/>
        <v>0</v>
      </c>
      <c r="W98">
        <f t="shared" si="87"/>
        <v>0</v>
      </c>
      <c r="X98">
        <f>(ROUND((((S98+ROUND((ROUND((((EU98*1.2))*AV98*I98),2)*BS98),2))*AT98)/100),2)+ROUND(((ROUND((ROUND(((AE98-((EU98*1.2)))*AV98*I98),2)*BS98),2)*AT98)/100),2))</f>
        <v>1122.78</v>
      </c>
      <c r="Y98">
        <f>(ROUND((((S98+ROUND((ROUND((((EU98*1.2))*AV98*I98),2)*BS98),2))*AU98)/100),2)+ROUND(((ROUND((ROUND(((AE98-((EU98*1.2)))*AV98*I98),2)*BS98),2)*AU98)/100),2))</f>
        <v>590.33000000000004</v>
      </c>
      <c r="AA98">
        <v>76282491</v>
      </c>
      <c r="AB98">
        <f t="shared" si="88"/>
        <v>46.258000000000003</v>
      </c>
      <c r="AC98">
        <f>ROUND(((ES98*1)),6)</f>
        <v>25.27</v>
      </c>
      <c r="AD98">
        <f>ROUND(((((ET98*1.2))-((EU98*1.2)))+AE98),6)</f>
        <v>0.94799999999999995</v>
      </c>
      <c r="AE98">
        <f>ROUND(((EU98*1.2)),6)</f>
        <v>0</v>
      </c>
      <c r="AF98">
        <f>ROUND(((EV98*1.2)),6)</f>
        <v>20.04</v>
      </c>
      <c r="AG98">
        <f t="shared" si="89"/>
        <v>0</v>
      </c>
      <c r="AH98">
        <f>((EW98*1.2))</f>
        <v>1.6080000000000001</v>
      </c>
      <c r="AI98">
        <f>((EX98*1.2))</f>
        <v>0</v>
      </c>
      <c r="AJ98">
        <f t="shared" si="90"/>
        <v>0</v>
      </c>
      <c r="AK98">
        <v>42.76</v>
      </c>
      <c r="AL98">
        <v>25.27</v>
      </c>
      <c r="AM98">
        <v>0.79</v>
      </c>
      <c r="AN98">
        <v>0</v>
      </c>
      <c r="AO98">
        <v>16.7</v>
      </c>
      <c r="AP98">
        <v>0</v>
      </c>
      <c r="AQ98">
        <v>1.34</v>
      </c>
      <c r="AR98">
        <v>0</v>
      </c>
      <c r="AS98">
        <v>0</v>
      </c>
      <c r="AT98">
        <v>97</v>
      </c>
      <c r="AU98">
        <v>51</v>
      </c>
      <c r="AV98">
        <v>1</v>
      </c>
      <c r="AW98">
        <v>1</v>
      </c>
      <c r="AZ98">
        <v>1</v>
      </c>
      <c r="BA98">
        <v>57.76</v>
      </c>
      <c r="BB98">
        <v>12.46</v>
      </c>
      <c r="BC98">
        <v>6.07</v>
      </c>
      <c r="BD98" t="s">
        <v>3</v>
      </c>
      <c r="BE98" t="s">
        <v>3</v>
      </c>
      <c r="BF98" t="s">
        <v>3</v>
      </c>
      <c r="BG98" t="s">
        <v>3</v>
      </c>
      <c r="BH98">
        <v>0</v>
      </c>
      <c r="BI98">
        <v>2</v>
      </c>
      <c r="BJ98" t="s">
        <v>17</v>
      </c>
      <c r="BM98">
        <v>67</v>
      </c>
      <c r="BN98">
        <v>0</v>
      </c>
      <c r="BO98" t="s">
        <v>14</v>
      </c>
      <c r="BP98">
        <v>1</v>
      </c>
      <c r="BQ98">
        <v>40</v>
      </c>
      <c r="BR98">
        <v>0</v>
      </c>
      <c r="BS98">
        <v>57.76</v>
      </c>
      <c r="BT98">
        <v>1</v>
      </c>
      <c r="BU98">
        <v>1</v>
      </c>
      <c r="BV98">
        <v>1</v>
      </c>
      <c r="BW98">
        <v>1</v>
      </c>
      <c r="BX98">
        <v>1</v>
      </c>
      <c r="BY98" t="s">
        <v>3</v>
      </c>
      <c r="BZ98">
        <v>97</v>
      </c>
      <c r="CA98">
        <v>51</v>
      </c>
      <c r="CB98" t="s">
        <v>3</v>
      </c>
      <c r="CE98">
        <v>1566</v>
      </c>
      <c r="CF98">
        <v>0</v>
      </c>
      <c r="CG98">
        <v>0</v>
      </c>
      <c r="CM98">
        <v>0</v>
      </c>
      <c r="CN98" t="s">
        <v>454</v>
      </c>
      <c r="CO98">
        <v>0</v>
      </c>
      <c r="CP98">
        <f t="shared" si="91"/>
        <v>1322.74</v>
      </c>
      <c r="CQ98">
        <f t="shared" si="92"/>
        <v>153.38999999999999</v>
      </c>
      <c r="CR98">
        <f>(ROUND((ROUND((((ET98*1.2))*AV98*1),2)*BB98),2)+ROUND((ROUND(((AE98-((EU98*1.2)))*AV98*1),2)*BS98),2))</f>
        <v>11.84</v>
      </c>
      <c r="CS98">
        <f>(ROUND((ROUND((((EU98*1.2))*AV98*1),2)*BS98),2)+ROUND((ROUND(((AE98-((EU98*1.2)))*AV98*1),2)*BS98),2))</f>
        <v>0</v>
      </c>
      <c r="CT98">
        <f t="shared" si="93"/>
        <v>1157.51</v>
      </c>
      <c r="CU98">
        <f t="shared" si="94"/>
        <v>0</v>
      </c>
      <c r="CV98">
        <f t="shared" si="95"/>
        <v>1.6080000000000001</v>
      </c>
      <c r="CW98">
        <f t="shared" si="96"/>
        <v>0</v>
      </c>
      <c r="CX98">
        <f t="shared" si="97"/>
        <v>0</v>
      </c>
      <c r="CY98">
        <f>(ROUND((((S98+ROUND((ROUND((((EU98*1.2))*AV98*1),2)*BS98),2))*AT98)/100),2)+ROUND(((ROUND((ROUND(((AE98-((EU98*1.2)))*AV98*1),2)*BS98),2)*AT98)/100),2))</f>
        <v>1122.78</v>
      </c>
      <c r="CZ98">
        <f>(ROUND((((S98+ROUND((ROUND((((EU98*1.2))*AV98*1),2)*BS98),2))*AU98)/100),2)+ROUND(((ROUND((ROUND(((AE98-((EU98*1.2)))*AV98*1),2)*BS98),2)*AU98)/100),2))</f>
        <v>590.33000000000004</v>
      </c>
      <c r="DB98">
        <v>8</v>
      </c>
      <c r="DC98" t="s">
        <v>3</v>
      </c>
      <c r="DD98" t="s">
        <v>60</v>
      </c>
      <c r="DE98" t="s">
        <v>61</v>
      </c>
      <c r="DF98" t="s">
        <v>61</v>
      </c>
      <c r="DG98" t="s">
        <v>61</v>
      </c>
      <c r="DH98" t="s">
        <v>3</v>
      </c>
      <c r="DI98" t="s">
        <v>61</v>
      </c>
      <c r="DJ98" t="s">
        <v>61</v>
      </c>
      <c r="DK98" t="s">
        <v>3</v>
      </c>
      <c r="DL98" t="s">
        <v>3</v>
      </c>
      <c r="DM98" t="s">
        <v>3</v>
      </c>
      <c r="DN98">
        <v>0</v>
      </c>
      <c r="DO98">
        <v>0</v>
      </c>
      <c r="DP98">
        <v>1</v>
      </c>
      <c r="DQ98">
        <v>1</v>
      </c>
      <c r="DU98">
        <v>1013</v>
      </c>
      <c r="DV98" t="s">
        <v>16</v>
      </c>
      <c r="DW98" t="s">
        <v>16</v>
      </c>
      <c r="DX98">
        <v>1</v>
      </c>
      <c r="DZ98" t="s">
        <v>3</v>
      </c>
      <c r="EA98" t="s">
        <v>3</v>
      </c>
      <c r="EB98" t="s">
        <v>3</v>
      </c>
      <c r="EC98" t="s">
        <v>3</v>
      </c>
      <c r="EE98">
        <v>76282301</v>
      </c>
      <c r="EF98">
        <v>40</v>
      </c>
      <c r="EG98" t="s">
        <v>20</v>
      </c>
      <c r="EH98">
        <v>0</v>
      </c>
      <c r="EI98" t="s">
        <v>3</v>
      </c>
      <c r="EJ98">
        <v>2</v>
      </c>
      <c r="EK98">
        <v>67</v>
      </c>
      <c r="EL98" t="s">
        <v>21</v>
      </c>
      <c r="EM98" t="s">
        <v>22</v>
      </c>
      <c r="EO98" t="s">
        <v>62</v>
      </c>
      <c r="EQ98">
        <v>131072</v>
      </c>
      <c r="ER98">
        <v>42.76</v>
      </c>
      <c r="ES98">
        <v>25.27</v>
      </c>
      <c r="ET98">
        <v>0.79</v>
      </c>
      <c r="EU98">
        <v>0</v>
      </c>
      <c r="EV98">
        <v>16.7</v>
      </c>
      <c r="EW98">
        <v>1.34</v>
      </c>
      <c r="EX98">
        <v>0</v>
      </c>
      <c r="EY98">
        <v>0</v>
      </c>
      <c r="FQ98">
        <v>0</v>
      </c>
      <c r="FR98">
        <v>0</v>
      </c>
      <c r="FS98">
        <v>0</v>
      </c>
      <c r="FX98">
        <v>97</v>
      </c>
      <c r="FY98">
        <v>51</v>
      </c>
      <c r="GA98" t="s">
        <v>3</v>
      </c>
      <c r="GD98">
        <v>1</v>
      </c>
      <c r="GF98">
        <v>-238938447</v>
      </c>
      <c r="GG98">
        <v>2</v>
      </c>
      <c r="GH98">
        <v>0</v>
      </c>
      <c r="GI98">
        <v>2</v>
      </c>
      <c r="GJ98">
        <v>0</v>
      </c>
      <c r="GK98">
        <v>0</v>
      </c>
      <c r="GL98">
        <f t="shared" si="98"/>
        <v>0</v>
      </c>
      <c r="GM98">
        <f t="shared" si="99"/>
        <v>3035.85</v>
      </c>
      <c r="GN98">
        <f t="shared" si="100"/>
        <v>0</v>
      </c>
      <c r="GO98">
        <f t="shared" si="101"/>
        <v>3035.85</v>
      </c>
      <c r="GP98">
        <f t="shared" si="102"/>
        <v>0</v>
      </c>
      <c r="GR98">
        <v>0</v>
      </c>
      <c r="GS98">
        <v>7</v>
      </c>
      <c r="GT98">
        <v>0</v>
      </c>
      <c r="GU98" t="s">
        <v>3</v>
      </c>
      <c r="GV98">
        <f t="shared" si="103"/>
        <v>0</v>
      </c>
      <c r="GW98">
        <v>1</v>
      </c>
      <c r="GX98">
        <f t="shared" si="104"/>
        <v>0</v>
      </c>
      <c r="HA98">
        <v>0</v>
      </c>
      <c r="HB98">
        <v>0</v>
      </c>
      <c r="HC98">
        <f t="shared" si="105"/>
        <v>0</v>
      </c>
      <c r="HE98" t="s">
        <v>3</v>
      </c>
      <c r="HF98" t="s">
        <v>3</v>
      </c>
      <c r="HM98" t="s">
        <v>3</v>
      </c>
      <c r="HN98" t="s">
        <v>3</v>
      </c>
      <c r="HO98" t="s">
        <v>3</v>
      </c>
      <c r="HP98" t="s">
        <v>3</v>
      </c>
      <c r="HQ98" t="s">
        <v>3</v>
      </c>
      <c r="HS98">
        <v>0</v>
      </c>
      <c r="IK98">
        <v>0</v>
      </c>
    </row>
    <row r="99" spans="1:245">
      <c r="A99">
        <v>18</v>
      </c>
      <c r="B99">
        <v>1</v>
      </c>
      <c r="E99" t="s">
        <v>200</v>
      </c>
      <c r="F99" t="s">
        <v>64</v>
      </c>
      <c r="G99" t="s">
        <v>65</v>
      </c>
      <c r="H99" t="s">
        <v>39</v>
      </c>
      <c r="I99">
        <f>I98*J99</f>
        <v>4.8999999999999998E-5</v>
      </c>
      <c r="J99">
        <v>4.8999999999999998E-5</v>
      </c>
      <c r="K99">
        <v>4.9000000000000005E-5</v>
      </c>
      <c r="O99">
        <f t="shared" si="81"/>
        <v>4.22</v>
      </c>
      <c r="P99">
        <f t="shared" si="82"/>
        <v>4.22</v>
      </c>
      <c r="Q99">
        <f>(ROUND((ROUND(((ET99)*AV99*I99),2)*BB99),2)+ROUND((ROUND(((AE99-(EU99))*AV99*I99),2)*BS99),2))</f>
        <v>0</v>
      </c>
      <c r="R99">
        <f>(ROUND((ROUND(((EU99)*AV99*I99),2)*BS99),2)+ROUND((ROUND(((AE99-(EU99))*AV99*I99),2)*BS99),2))</f>
        <v>0</v>
      </c>
      <c r="S99">
        <f t="shared" si="83"/>
        <v>0</v>
      </c>
      <c r="T99">
        <f t="shared" si="84"/>
        <v>0</v>
      </c>
      <c r="U99">
        <f t="shared" si="85"/>
        <v>0</v>
      </c>
      <c r="V99">
        <f t="shared" si="86"/>
        <v>0</v>
      </c>
      <c r="W99">
        <f t="shared" si="87"/>
        <v>0</v>
      </c>
      <c r="X99">
        <f>(ROUND((((S99+ROUND((ROUND(((EU99)*AV99*I99),2)*BS99),2))*AT99)/100),2)+ROUND(((ROUND((ROUND(((AE99-(EU99))*AV99*I99),2)*BS99),2)*AT99)/100),2))</f>
        <v>0</v>
      </c>
      <c r="Y99">
        <f>(ROUND((((S99+ROUND((ROUND(((EU99)*AV99*I99),2)*BS99),2))*AU99)/100),2)+ROUND(((ROUND((ROUND(((AE99-(EU99))*AV99*I99),2)*BS99),2)*AU99)/100),2))</f>
        <v>0</v>
      </c>
      <c r="AA99">
        <v>76282491</v>
      </c>
      <c r="AB99">
        <f t="shared" si="88"/>
        <v>24609.759999999998</v>
      </c>
      <c r="AC99">
        <f>ROUND((ES99),6)</f>
        <v>24609.759999999998</v>
      </c>
      <c r="AD99">
        <f>ROUND((((ET99)-(EU99))+AE99),6)</f>
        <v>0</v>
      </c>
      <c r="AE99">
        <f t="shared" ref="AE99:AF103" si="106">ROUND((EU99),6)</f>
        <v>0</v>
      </c>
      <c r="AF99">
        <f t="shared" si="106"/>
        <v>0</v>
      </c>
      <c r="AG99">
        <f t="shared" si="89"/>
        <v>0</v>
      </c>
      <c r="AH99">
        <f t="shared" ref="AH99:AI103" si="107">(EW99)</f>
        <v>0</v>
      </c>
      <c r="AI99">
        <f t="shared" si="107"/>
        <v>0</v>
      </c>
      <c r="AJ99">
        <f t="shared" si="90"/>
        <v>0</v>
      </c>
      <c r="AK99">
        <v>24609.759999999998</v>
      </c>
      <c r="AL99">
        <v>24609.759999999998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97</v>
      </c>
      <c r="AU99">
        <v>51</v>
      </c>
      <c r="AV99">
        <v>1</v>
      </c>
      <c r="AW99">
        <v>1</v>
      </c>
      <c r="AZ99">
        <v>1</v>
      </c>
      <c r="BA99">
        <v>1</v>
      </c>
      <c r="BB99">
        <v>1</v>
      </c>
      <c r="BC99">
        <v>3.49</v>
      </c>
      <c r="BD99" t="s">
        <v>3</v>
      </c>
      <c r="BE99" t="s">
        <v>3</v>
      </c>
      <c r="BF99" t="s">
        <v>3</v>
      </c>
      <c r="BG99" t="s">
        <v>3</v>
      </c>
      <c r="BH99">
        <v>3</v>
      </c>
      <c r="BI99">
        <v>2</v>
      </c>
      <c r="BJ99" t="s">
        <v>66</v>
      </c>
      <c r="BM99">
        <v>67</v>
      </c>
      <c r="BN99">
        <v>0</v>
      </c>
      <c r="BO99" t="s">
        <v>64</v>
      </c>
      <c r="BP99">
        <v>1</v>
      </c>
      <c r="BQ99">
        <v>40</v>
      </c>
      <c r="BR99">
        <v>0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 t="s">
        <v>3</v>
      </c>
      <c r="BZ99">
        <v>97</v>
      </c>
      <c r="CA99">
        <v>51</v>
      </c>
      <c r="CB99" t="s">
        <v>3</v>
      </c>
      <c r="CE99">
        <v>1566</v>
      </c>
      <c r="CF99">
        <v>0</v>
      </c>
      <c r="CG99">
        <v>0</v>
      </c>
      <c r="CM99">
        <v>0</v>
      </c>
      <c r="CN99" t="s">
        <v>454</v>
      </c>
      <c r="CO99">
        <v>0</v>
      </c>
      <c r="CP99">
        <f t="shared" si="91"/>
        <v>4.22</v>
      </c>
      <c r="CQ99">
        <f t="shared" si="92"/>
        <v>85888.06</v>
      </c>
      <c r="CR99">
        <f>(ROUND((ROUND(((ET99)*AV99*1),2)*BB99),2)+ROUND((ROUND(((AE99-(EU99))*AV99*1),2)*BS99),2))</f>
        <v>0</v>
      </c>
      <c r="CS99">
        <f>(ROUND((ROUND(((EU99)*AV99*1),2)*BS99),2)+ROUND((ROUND(((AE99-(EU99))*AV99*1),2)*BS99),2))</f>
        <v>0</v>
      </c>
      <c r="CT99">
        <f t="shared" si="93"/>
        <v>0</v>
      </c>
      <c r="CU99">
        <f t="shared" si="94"/>
        <v>0</v>
      </c>
      <c r="CV99">
        <f t="shared" si="95"/>
        <v>0</v>
      </c>
      <c r="CW99">
        <f t="shared" si="96"/>
        <v>0</v>
      </c>
      <c r="CX99">
        <f t="shared" si="97"/>
        <v>0</v>
      </c>
      <c r="CY99">
        <f>(ROUND((((S99+ROUND((ROUND(((EU99)*AV99*1),2)*BS99),2))*AT99)/100),2)+ROUND(((ROUND((ROUND(((AE99-(EU99))*AV99*1),2)*BS99),2)*AT99)/100),2))</f>
        <v>0</v>
      </c>
      <c r="CZ99">
        <f>(ROUND((((S99+ROUND((ROUND(((EU99)*AV99*1),2)*BS99),2))*AU99)/100),2)+ROUND(((ROUND((ROUND(((AE99-(EU99))*AV99*1),2)*BS99),2)*AU99)/100),2))</f>
        <v>0</v>
      </c>
      <c r="DC99" t="s">
        <v>3</v>
      </c>
      <c r="DD99" t="s">
        <v>3</v>
      </c>
      <c r="DE99" t="s">
        <v>3</v>
      </c>
      <c r="DF99" t="s">
        <v>3</v>
      </c>
      <c r="DG99" t="s">
        <v>3</v>
      </c>
      <c r="DH99" t="s">
        <v>3</v>
      </c>
      <c r="DI99" t="s">
        <v>3</v>
      </c>
      <c r="DJ99" t="s">
        <v>3</v>
      </c>
      <c r="DK99" t="s">
        <v>3</v>
      </c>
      <c r="DL99" t="s">
        <v>3</v>
      </c>
      <c r="DM99" t="s">
        <v>3</v>
      </c>
      <c r="DN99">
        <v>0</v>
      </c>
      <c r="DO99">
        <v>0</v>
      </c>
      <c r="DP99">
        <v>1</v>
      </c>
      <c r="DQ99">
        <v>1</v>
      </c>
      <c r="DU99">
        <v>1009</v>
      </c>
      <c r="DV99" t="s">
        <v>39</v>
      </c>
      <c r="DW99" t="s">
        <v>39</v>
      </c>
      <c r="DX99">
        <v>1000</v>
      </c>
      <c r="DZ99" t="s">
        <v>3</v>
      </c>
      <c r="EA99" t="s">
        <v>3</v>
      </c>
      <c r="EB99" t="s">
        <v>3</v>
      </c>
      <c r="EC99" t="s">
        <v>3</v>
      </c>
      <c r="EE99">
        <v>76282301</v>
      </c>
      <c r="EF99">
        <v>40</v>
      </c>
      <c r="EG99" t="s">
        <v>20</v>
      </c>
      <c r="EH99">
        <v>0</v>
      </c>
      <c r="EI99" t="s">
        <v>3</v>
      </c>
      <c r="EJ99">
        <v>2</v>
      </c>
      <c r="EK99">
        <v>67</v>
      </c>
      <c r="EL99" t="s">
        <v>21</v>
      </c>
      <c r="EM99" t="s">
        <v>22</v>
      </c>
      <c r="EO99" t="s">
        <v>62</v>
      </c>
      <c r="EQ99">
        <v>0</v>
      </c>
      <c r="ER99">
        <v>24609.759999999998</v>
      </c>
      <c r="ES99">
        <v>24609.759999999998</v>
      </c>
      <c r="ET99">
        <v>0</v>
      </c>
      <c r="EU99">
        <v>0</v>
      </c>
      <c r="EV99">
        <v>0</v>
      </c>
      <c r="EW99">
        <v>0</v>
      </c>
      <c r="EX99">
        <v>0</v>
      </c>
      <c r="FQ99">
        <v>0</v>
      </c>
      <c r="FR99">
        <v>0</v>
      </c>
      <c r="FS99">
        <v>0</v>
      </c>
      <c r="FX99">
        <v>97</v>
      </c>
      <c r="FY99">
        <v>51</v>
      </c>
      <c r="GA99" t="s">
        <v>3</v>
      </c>
      <c r="GD99">
        <v>1</v>
      </c>
      <c r="GF99">
        <v>-566361729</v>
      </c>
      <c r="GG99">
        <v>2</v>
      </c>
      <c r="GH99">
        <v>0</v>
      </c>
      <c r="GI99">
        <v>2</v>
      </c>
      <c r="GJ99">
        <v>0</v>
      </c>
      <c r="GK99">
        <v>0</v>
      </c>
      <c r="GL99">
        <f t="shared" si="98"/>
        <v>0</v>
      </c>
      <c r="GM99">
        <f t="shared" si="99"/>
        <v>4.22</v>
      </c>
      <c r="GN99">
        <f t="shared" si="100"/>
        <v>0</v>
      </c>
      <c r="GO99">
        <f t="shared" si="101"/>
        <v>4.22</v>
      </c>
      <c r="GP99">
        <f t="shared" si="102"/>
        <v>0</v>
      </c>
      <c r="GR99">
        <v>0</v>
      </c>
      <c r="GS99">
        <v>0</v>
      </c>
      <c r="GT99">
        <v>0</v>
      </c>
      <c r="GU99" t="s">
        <v>3</v>
      </c>
      <c r="GV99">
        <f t="shared" si="103"/>
        <v>0</v>
      </c>
      <c r="GW99">
        <v>1</v>
      </c>
      <c r="GX99">
        <f t="shared" si="104"/>
        <v>0</v>
      </c>
      <c r="HA99">
        <v>0</v>
      </c>
      <c r="HB99">
        <v>0</v>
      </c>
      <c r="HC99">
        <f t="shared" si="105"/>
        <v>0</v>
      </c>
      <c r="HE99" t="s">
        <v>3</v>
      </c>
      <c r="HF99" t="s">
        <v>3</v>
      </c>
      <c r="HM99" t="s">
        <v>60</v>
      </c>
      <c r="HN99" t="s">
        <v>3</v>
      </c>
      <c r="HO99" t="s">
        <v>3</v>
      </c>
      <c r="HP99" t="s">
        <v>3</v>
      </c>
      <c r="HQ99" t="s">
        <v>3</v>
      </c>
      <c r="HS99">
        <v>0</v>
      </c>
      <c r="IK99">
        <v>0</v>
      </c>
    </row>
    <row r="100" spans="1:245">
      <c r="A100">
        <v>18</v>
      </c>
      <c r="B100">
        <v>1</v>
      </c>
      <c r="E100" t="s">
        <v>201</v>
      </c>
      <c r="F100" t="s">
        <v>30</v>
      </c>
      <c r="G100" t="s">
        <v>31</v>
      </c>
      <c r="H100" t="s">
        <v>32</v>
      </c>
      <c r="I100">
        <f>I98*J100</f>
        <v>1</v>
      </c>
      <c r="J100">
        <v>1</v>
      </c>
      <c r="K100">
        <v>1</v>
      </c>
      <c r="O100">
        <f t="shared" si="81"/>
        <v>0</v>
      </c>
      <c r="P100">
        <f t="shared" si="82"/>
        <v>0</v>
      </c>
      <c r="Q100">
        <f>(ROUND((ROUND(((ET100)*AV100*I100),2)*BB100),2)+ROUND((ROUND(((AE100-(EU100))*AV100*I100),2)*BS100),2))</f>
        <v>0</v>
      </c>
      <c r="R100">
        <f>(ROUND((ROUND(((EU100)*AV100*I100),2)*BS100),2)+ROUND((ROUND(((AE100-(EU100))*AV100*I100),2)*BS100),2))</f>
        <v>0</v>
      </c>
      <c r="S100">
        <f t="shared" si="83"/>
        <v>0</v>
      </c>
      <c r="T100">
        <f t="shared" si="84"/>
        <v>0</v>
      </c>
      <c r="U100">
        <f t="shared" si="85"/>
        <v>0</v>
      </c>
      <c r="V100">
        <f t="shared" si="86"/>
        <v>0</v>
      </c>
      <c r="W100">
        <f t="shared" si="87"/>
        <v>0</v>
      </c>
      <c r="X100">
        <f>(ROUND((((S100+ROUND((ROUND(((EU100)*AV100*I100),2)*BS100),2))*AT100)/100),2)+ROUND(((ROUND((ROUND(((AE100-(EU100))*AV100*I100),2)*BS100),2)*AT100)/100),2))</f>
        <v>0</v>
      </c>
      <c r="Y100">
        <f>(ROUND((((S100+ROUND((ROUND(((EU100)*AV100*I100),2)*BS100),2))*AU100)/100),2)+ROUND(((ROUND((ROUND(((AE100-(EU100))*AV100*I100),2)*BS100),2)*AU100)/100),2))</f>
        <v>0</v>
      </c>
      <c r="AA100">
        <v>76282491</v>
      </c>
      <c r="AB100">
        <f t="shared" si="88"/>
        <v>0</v>
      </c>
      <c r="AC100">
        <f>ROUND((ES100),6)</f>
        <v>0</v>
      </c>
      <c r="AD100">
        <f>ROUND((((ET100)-(EU100))+AE100),6)</f>
        <v>0</v>
      </c>
      <c r="AE100">
        <f t="shared" si="106"/>
        <v>0</v>
      </c>
      <c r="AF100">
        <f t="shared" si="106"/>
        <v>0</v>
      </c>
      <c r="AG100">
        <f t="shared" si="89"/>
        <v>0</v>
      </c>
      <c r="AH100">
        <f t="shared" si="107"/>
        <v>0</v>
      </c>
      <c r="AI100">
        <f t="shared" si="107"/>
        <v>0</v>
      </c>
      <c r="AJ100">
        <f t="shared" si="90"/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97</v>
      </c>
      <c r="AU100">
        <v>51</v>
      </c>
      <c r="AV100">
        <v>1</v>
      </c>
      <c r="AW100">
        <v>1</v>
      </c>
      <c r="AZ100">
        <v>1</v>
      </c>
      <c r="BA100">
        <v>1</v>
      </c>
      <c r="BB100">
        <v>1</v>
      </c>
      <c r="BC100">
        <v>1</v>
      </c>
      <c r="BD100" t="s">
        <v>3</v>
      </c>
      <c r="BE100" t="s">
        <v>3</v>
      </c>
      <c r="BF100" t="s">
        <v>3</v>
      </c>
      <c r="BG100" t="s">
        <v>3</v>
      </c>
      <c r="BH100">
        <v>3</v>
      </c>
      <c r="BI100">
        <v>2</v>
      </c>
      <c r="BJ100" t="s">
        <v>3</v>
      </c>
      <c r="BM100">
        <v>67</v>
      </c>
      <c r="BN100">
        <v>0</v>
      </c>
      <c r="BO100" t="s">
        <v>3</v>
      </c>
      <c r="BP100">
        <v>0</v>
      </c>
      <c r="BQ100">
        <v>40</v>
      </c>
      <c r="BR100">
        <v>0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 t="s">
        <v>3</v>
      </c>
      <c r="BZ100">
        <v>97</v>
      </c>
      <c r="CA100">
        <v>51</v>
      </c>
      <c r="CB100" t="s">
        <v>3</v>
      </c>
      <c r="CE100">
        <v>1566</v>
      </c>
      <c r="CF100">
        <v>0</v>
      </c>
      <c r="CG100">
        <v>0</v>
      </c>
      <c r="CM100">
        <v>0</v>
      </c>
      <c r="CN100" t="s">
        <v>454</v>
      </c>
      <c r="CO100">
        <v>0</v>
      </c>
      <c r="CP100">
        <f t="shared" si="91"/>
        <v>0</v>
      </c>
      <c r="CQ100">
        <f t="shared" si="92"/>
        <v>0</v>
      </c>
      <c r="CR100">
        <f>(ROUND((ROUND(((ET100)*AV100*1),2)*BB100),2)+ROUND((ROUND(((AE100-(EU100))*AV100*1),2)*BS100),2))</f>
        <v>0</v>
      </c>
      <c r="CS100">
        <f>(ROUND((ROUND(((EU100)*AV100*1),2)*BS100),2)+ROUND((ROUND(((AE100-(EU100))*AV100*1),2)*BS100),2))</f>
        <v>0</v>
      </c>
      <c r="CT100">
        <f t="shared" si="93"/>
        <v>0</v>
      </c>
      <c r="CU100">
        <f t="shared" si="94"/>
        <v>0</v>
      </c>
      <c r="CV100">
        <f t="shared" si="95"/>
        <v>0</v>
      </c>
      <c r="CW100">
        <f t="shared" si="96"/>
        <v>0</v>
      </c>
      <c r="CX100">
        <f t="shared" si="97"/>
        <v>0</v>
      </c>
      <c r="CY100">
        <f>(ROUND((((S100+ROUND((ROUND(((EU100)*AV100*1),2)*BS100),2))*AT100)/100),2)+ROUND(((ROUND((ROUND(((AE100-(EU100))*AV100*1),2)*BS100),2)*AT100)/100),2))</f>
        <v>0</v>
      </c>
      <c r="CZ100">
        <f>(ROUND((((S100+ROUND((ROUND(((EU100)*AV100*1),2)*BS100),2))*AU100)/100),2)+ROUND(((ROUND((ROUND(((AE100-(EU100))*AV100*1),2)*BS100),2)*AU100)/100),2))</f>
        <v>0</v>
      </c>
      <c r="DC100" t="s">
        <v>3</v>
      </c>
      <c r="DD100" t="s">
        <v>3</v>
      </c>
      <c r="DE100" t="s">
        <v>3</v>
      </c>
      <c r="DF100" t="s">
        <v>3</v>
      </c>
      <c r="DG100" t="s">
        <v>3</v>
      </c>
      <c r="DH100" t="s">
        <v>3</v>
      </c>
      <c r="DI100" t="s">
        <v>3</v>
      </c>
      <c r="DJ100" t="s">
        <v>3</v>
      </c>
      <c r="DK100" t="s">
        <v>3</v>
      </c>
      <c r="DL100" t="s">
        <v>3</v>
      </c>
      <c r="DM100" t="s">
        <v>3</v>
      </c>
      <c r="DN100">
        <v>0</v>
      </c>
      <c r="DO100">
        <v>0</v>
      </c>
      <c r="DP100">
        <v>1</v>
      </c>
      <c r="DQ100">
        <v>1</v>
      </c>
      <c r="DU100">
        <v>1010</v>
      </c>
      <c r="DV100" t="s">
        <v>32</v>
      </c>
      <c r="DW100" t="s">
        <v>32</v>
      </c>
      <c r="DX100">
        <v>1</v>
      </c>
      <c r="DZ100" t="s">
        <v>3</v>
      </c>
      <c r="EA100" t="s">
        <v>3</v>
      </c>
      <c r="EB100" t="s">
        <v>3</v>
      </c>
      <c r="EC100" t="s">
        <v>3</v>
      </c>
      <c r="EE100">
        <v>76282301</v>
      </c>
      <c r="EF100">
        <v>40</v>
      </c>
      <c r="EG100" t="s">
        <v>20</v>
      </c>
      <c r="EH100">
        <v>0</v>
      </c>
      <c r="EI100" t="s">
        <v>3</v>
      </c>
      <c r="EJ100">
        <v>2</v>
      </c>
      <c r="EK100">
        <v>67</v>
      </c>
      <c r="EL100" t="s">
        <v>21</v>
      </c>
      <c r="EM100" t="s">
        <v>22</v>
      </c>
      <c r="EO100" t="s">
        <v>62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FQ100">
        <v>0</v>
      </c>
      <c r="FR100">
        <v>0</v>
      </c>
      <c r="FS100">
        <v>0</v>
      </c>
      <c r="FX100">
        <v>97</v>
      </c>
      <c r="FY100">
        <v>51</v>
      </c>
      <c r="GA100" t="s">
        <v>3</v>
      </c>
      <c r="GD100">
        <v>1</v>
      </c>
      <c r="GF100">
        <v>1819227632</v>
      </c>
      <c r="GG100">
        <v>2</v>
      </c>
      <c r="GH100">
        <v>0</v>
      </c>
      <c r="GI100">
        <v>-2</v>
      </c>
      <c r="GJ100">
        <v>0</v>
      </c>
      <c r="GK100">
        <v>0</v>
      </c>
      <c r="GL100">
        <f t="shared" si="98"/>
        <v>0</v>
      </c>
      <c r="GM100">
        <f t="shared" si="99"/>
        <v>0</v>
      </c>
      <c r="GN100">
        <f t="shared" si="100"/>
        <v>0</v>
      </c>
      <c r="GO100">
        <f t="shared" si="101"/>
        <v>0</v>
      </c>
      <c r="GP100">
        <f t="shared" si="102"/>
        <v>0</v>
      </c>
      <c r="GR100">
        <v>0</v>
      </c>
      <c r="GS100">
        <v>0</v>
      </c>
      <c r="GT100">
        <v>0</v>
      </c>
      <c r="GU100" t="s">
        <v>3</v>
      </c>
      <c r="GV100">
        <f t="shared" si="103"/>
        <v>0</v>
      </c>
      <c r="GW100">
        <v>1</v>
      </c>
      <c r="GX100">
        <f t="shared" si="104"/>
        <v>0</v>
      </c>
      <c r="HA100">
        <v>0</v>
      </c>
      <c r="HB100">
        <v>0</v>
      </c>
      <c r="HC100">
        <f t="shared" si="105"/>
        <v>0</v>
      </c>
      <c r="HE100" t="s">
        <v>3</v>
      </c>
      <c r="HF100" t="s">
        <v>3</v>
      </c>
      <c r="HM100" t="s">
        <v>60</v>
      </c>
      <c r="HN100" t="s">
        <v>3</v>
      </c>
      <c r="HO100" t="s">
        <v>3</v>
      </c>
      <c r="HP100" t="s">
        <v>3</v>
      </c>
      <c r="HQ100" t="s">
        <v>3</v>
      </c>
      <c r="HS100">
        <v>0</v>
      </c>
      <c r="IK100">
        <v>0</v>
      </c>
    </row>
    <row r="101" spans="1:245">
      <c r="A101">
        <v>18</v>
      </c>
      <c r="B101">
        <v>1</v>
      </c>
      <c r="E101" t="s">
        <v>202</v>
      </c>
      <c r="F101" t="s">
        <v>34</v>
      </c>
      <c r="G101" t="s">
        <v>35</v>
      </c>
      <c r="H101" t="s">
        <v>32</v>
      </c>
      <c r="I101">
        <f>I98*J101</f>
        <v>6.1</v>
      </c>
      <c r="J101">
        <v>6.1</v>
      </c>
      <c r="K101">
        <v>6.1</v>
      </c>
      <c r="O101">
        <f t="shared" si="81"/>
        <v>0</v>
      </c>
      <c r="P101">
        <f t="shared" si="82"/>
        <v>0</v>
      </c>
      <c r="Q101">
        <f>(ROUND((ROUND(((ET101)*AV101*I101),2)*BB101),2)+ROUND((ROUND(((AE101-(EU101))*AV101*I101),2)*BS101),2))</f>
        <v>0</v>
      </c>
      <c r="R101">
        <f>(ROUND((ROUND(((EU101)*AV101*I101),2)*BS101),2)+ROUND((ROUND(((AE101-(EU101))*AV101*I101),2)*BS101),2))</f>
        <v>0</v>
      </c>
      <c r="S101">
        <f t="shared" si="83"/>
        <v>0</v>
      </c>
      <c r="T101">
        <f t="shared" si="84"/>
        <v>0</v>
      </c>
      <c r="U101">
        <f t="shared" si="85"/>
        <v>0</v>
      </c>
      <c r="V101">
        <f t="shared" si="86"/>
        <v>0</v>
      </c>
      <c r="W101">
        <f t="shared" si="87"/>
        <v>0</v>
      </c>
      <c r="X101">
        <f>(ROUND((((S101+ROUND((ROUND(((EU101)*AV101*I101),2)*BS101),2))*AT101)/100),2)+ROUND(((ROUND((ROUND(((AE101-(EU101))*AV101*I101),2)*BS101),2)*AT101)/100),2))</f>
        <v>0</v>
      </c>
      <c r="Y101">
        <f>(ROUND((((S101+ROUND((ROUND(((EU101)*AV101*I101),2)*BS101),2))*AU101)/100),2)+ROUND(((ROUND((ROUND(((AE101-(EU101))*AV101*I101),2)*BS101),2)*AU101)/100),2))</f>
        <v>0</v>
      </c>
      <c r="AA101">
        <v>76282491</v>
      </c>
      <c r="AB101">
        <f t="shared" si="88"/>
        <v>0</v>
      </c>
      <c r="AC101">
        <f>ROUND((ES101),6)</f>
        <v>0</v>
      </c>
      <c r="AD101">
        <f>ROUND((((ET101)-(EU101))+AE101),6)</f>
        <v>0</v>
      </c>
      <c r="AE101">
        <f t="shared" si="106"/>
        <v>0</v>
      </c>
      <c r="AF101">
        <f t="shared" si="106"/>
        <v>0</v>
      </c>
      <c r="AG101">
        <f t="shared" si="89"/>
        <v>0</v>
      </c>
      <c r="AH101">
        <f t="shared" si="107"/>
        <v>0</v>
      </c>
      <c r="AI101">
        <f t="shared" si="107"/>
        <v>0</v>
      </c>
      <c r="AJ101">
        <f t="shared" si="90"/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97</v>
      </c>
      <c r="AU101">
        <v>51</v>
      </c>
      <c r="AV101">
        <v>1</v>
      </c>
      <c r="AW101">
        <v>1</v>
      </c>
      <c r="AZ101">
        <v>1</v>
      </c>
      <c r="BA101">
        <v>1</v>
      </c>
      <c r="BB101">
        <v>1</v>
      </c>
      <c r="BC101">
        <v>1</v>
      </c>
      <c r="BD101" t="s">
        <v>3</v>
      </c>
      <c r="BE101" t="s">
        <v>3</v>
      </c>
      <c r="BF101" t="s">
        <v>3</v>
      </c>
      <c r="BG101" t="s">
        <v>3</v>
      </c>
      <c r="BH101">
        <v>3</v>
      </c>
      <c r="BI101">
        <v>2</v>
      </c>
      <c r="BJ101" t="s">
        <v>3</v>
      </c>
      <c r="BM101">
        <v>67</v>
      </c>
      <c r="BN101">
        <v>0</v>
      </c>
      <c r="BO101" t="s">
        <v>3</v>
      </c>
      <c r="BP101">
        <v>0</v>
      </c>
      <c r="BQ101">
        <v>40</v>
      </c>
      <c r="BR101">
        <v>0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 t="s">
        <v>3</v>
      </c>
      <c r="BZ101">
        <v>97</v>
      </c>
      <c r="CA101">
        <v>51</v>
      </c>
      <c r="CB101" t="s">
        <v>3</v>
      </c>
      <c r="CE101">
        <v>1566</v>
      </c>
      <c r="CF101">
        <v>0</v>
      </c>
      <c r="CG101">
        <v>0</v>
      </c>
      <c r="CM101">
        <v>0</v>
      </c>
      <c r="CN101" t="s">
        <v>454</v>
      </c>
      <c r="CO101">
        <v>0</v>
      </c>
      <c r="CP101">
        <f t="shared" si="91"/>
        <v>0</v>
      </c>
      <c r="CQ101">
        <f t="shared" si="92"/>
        <v>0</v>
      </c>
      <c r="CR101">
        <f>(ROUND((ROUND(((ET101)*AV101*1),2)*BB101),2)+ROUND((ROUND(((AE101-(EU101))*AV101*1),2)*BS101),2))</f>
        <v>0</v>
      </c>
      <c r="CS101">
        <f>(ROUND((ROUND(((EU101)*AV101*1),2)*BS101),2)+ROUND((ROUND(((AE101-(EU101))*AV101*1),2)*BS101),2))</f>
        <v>0</v>
      </c>
      <c r="CT101">
        <f t="shared" si="93"/>
        <v>0</v>
      </c>
      <c r="CU101">
        <f t="shared" si="94"/>
        <v>0</v>
      </c>
      <c r="CV101">
        <f t="shared" si="95"/>
        <v>0</v>
      </c>
      <c r="CW101">
        <f t="shared" si="96"/>
        <v>0</v>
      </c>
      <c r="CX101">
        <f t="shared" si="97"/>
        <v>0</v>
      </c>
      <c r="CY101">
        <f>(ROUND((((S101+ROUND((ROUND(((EU101)*AV101*1),2)*BS101),2))*AT101)/100),2)+ROUND(((ROUND((ROUND(((AE101-(EU101))*AV101*1),2)*BS101),2)*AT101)/100),2))</f>
        <v>0</v>
      </c>
      <c r="CZ101">
        <f>(ROUND((((S101+ROUND((ROUND(((EU101)*AV101*1),2)*BS101),2))*AU101)/100),2)+ROUND(((ROUND((ROUND(((AE101-(EU101))*AV101*1),2)*BS101),2)*AU101)/100),2))</f>
        <v>0</v>
      </c>
      <c r="DC101" t="s">
        <v>3</v>
      </c>
      <c r="DD101" t="s">
        <v>3</v>
      </c>
      <c r="DE101" t="s">
        <v>3</v>
      </c>
      <c r="DF101" t="s">
        <v>3</v>
      </c>
      <c r="DG101" t="s">
        <v>3</v>
      </c>
      <c r="DH101" t="s">
        <v>3</v>
      </c>
      <c r="DI101" t="s">
        <v>3</v>
      </c>
      <c r="DJ101" t="s">
        <v>3</v>
      </c>
      <c r="DK101" t="s">
        <v>3</v>
      </c>
      <c r="DL101" t="s">
        <v>3</v>
      </c>
      <c r="DM101" t="s">
        <v>3</v>
      </c>
      <c r="DN101">
        <v>0</v>
      </c>
      <c r="DO101">
        <v>0</v>
      </c>
      <c r="DP101">
        <v>1</v>
      </c>
      <c r="DQ101">
        <v>1</v>
      </c>
      <c r="DU101">
        <v>1010</v>
      </c>
      <c r="DV101" t="s">
        <v>32</v>
      </c>
      <c r="DW101" t="s">
        <v>32</v>
      </c>
      <c r="DX101">
        <v>1</v>
      </c>
      <c r="DZ101" t="s">
        <v>3</v>
      </c>
      <c r="EA101" t="s">
        <v>3</v>
      </c>
      <c r="EB101" t="s">
        <v>3</v>
      </c>
      <c r="EC101" t="s">
        <v>3</v>
      </c>
      <c r="EE101">
        <v>76282301</v>
      </c>
      <c r="EF101">
        <v>40</v>
      </c>
      <c r="EG101" t="s">
        <v>20</v>
      </c>
      <c r="EH101">
        <v>0</v>
      </c>
      <c r="EI101" t="s">
        <v>3</v>
      </c>
      <c r="EJ101">
        <v>2</v>
      </c>
      <c r="EK101">
        <v>67</v>
      </c>
      <c r="EL101" t="s">
        <v>21</v>
      </c>
      <c r="EM101" t="s">
        <v>22</v>
      </c>
      <c r="EO101" t="s">
        <v>62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FQ101">
        <v>0</v>
      </c>
      <c r="FR101">
        <v>0</v>
      </c>
      <c r="FS101">
        <v>0</v>
      </c>
      <c r="FX101">
        <v>97</v>
      </c>
      <c r="FY101">
        <v>51</v>
      </c>
      <c r="GA101" t="s">
        <v>3</v>
      </c>
      <c r="GD101">
        <v>1</v>
      </c>
      <c r="GF101">
        <v>-1431231368</v>
      </c>
      <c r="GG101">
        <v>2</v>
      </c>
      <c r="GH101">
        <v>0</v>
      </c>
      <c r="GI101">
        <v>-2</v>
      </c>
      <c r="GJ101">
        <v>0</v>
      </c>
      <c r="GK101">
        <v>0</v>
      </c>
      <c r="GL101">
        <f t="shared" si="98"/>
        <v>0</v>
      </c>
      <c r="GM101">
        <f t="shared" si="99"/>
        <v>0</v>
      </c>
      <c r="GN101">
        <f t="shared" si="100"/>
        <v>0</v>
      </c>
      <c r="GO101">
        <f t="shared" si="101"/>
        <v>0</v>
      </c>
      <c r="GP101">
        <f t="shared" si="102"/>
        <v>0</v>
      </c>
      <c r="GR101">
        <v>0</v>
      </c>
      <c r="GS101">
        <v>0</v>
      </c>
      <c r="GT101">
        <v>0</v>
      </c>
      <c r="GU101" t="s">
        <v>3</v>
      </c>
      <c r="GV101">
        <f t="shared" si="103"/>
        <v>0</v>
      </c>
      <c r="GW101">
        <v>1</v>
      </c>
      <c r="GX101">
        <f t="shared" si="104"/>
        <v>0</v>
      </c>
      <c r="HA101">
        <v>0</v>
      </c>
      <c r="HB101">
        <v>0</v>
      </c>
      <c r="HC101">
        <f t="shared" si="105"/>
        <v>0</v>
      </c>
      <c r="HE101" t="s">
        <v>3</v>
      </c>
      <c r="HF101" t="s">
        <v>3</v>
      </c>
      <c r="HM101" t="s">
        <v>60</v>
      </c>
      <c r="HN101" t="s">
        <v>3</v>
      </c>
      <c r="HO101" t="s">
        <v>3</v>
      </c>
      <c r="HP101" t="s">
        <v>3</v>
      </c>
      <c r="HQ101" t="s">
        <v>3</v>
      </c>
      <c r="HS101">
        <v>0</v>
      </c>
      <c r="IK101">
        <v>0</v>
      </c>
    </row>
    <row r="102" spans="1:245">
      <c r="A102">
        <v>18</v>
      </c>
      <c r="B102">
        <v>1</v>
      </c>
      <c r="E102" t="s">
        <v>203</v>
      </c>
      <c r="F102" t="s">
        <v>37</v>
      </c>
      <c r="G102" t="s">
        <v>38</v>
      </c>
      <c r="H102" t="s">
        <v>39</v>
      </c>
      <c r="I102">
        <f>I98*J102</f>
        <v>1E-3</v>
      </c>
      <c r="J102">
        <v>1E-3</v>
      </c>
      <c r="K102">
        <v>1E-3</v>
      </c>
      <c r="O102">
        <f t="shared" si="81"/>
        <v>0</v>
      </c>
      <c r="P102">
        <f t="shared" si="82"/>
        <v>0</v>
      </c>
      <c r="Q102">
        <f>(ROUND((ROUND(((ET102)*AV102*I102),2)*BB102),2)+ROUND((ROUND(((AE102-(EU102))*AV102*I102),2)*BS102),2))</f>
        <v>0</v>
      </c>
      <c r="R102">
        <f>(ROUND((ROUND(((EU102)*AV102*I102),2)*BS102),2)+ROUND((ROUND(((AE102-(EU102))*AV102*I102),2)*BS102),2))</f>
        <v>0</v>
      </c>
      <c r="S102">
        <f t="shared" si="83"/>
        <v>0</v>
      </c>
      <c r="T102">
        <f t="shared" si="84"/>
        <v>0</v>
      </c>
      <c r="U102">
        <f t="shared" si="85"/>
        <v>0</v>
      </c>
      <c r="V102">
        <f t="shared" si="86"/>
        <v>0</v>
      </c>
      <c r="W102">
        <f t="shared" si="87"/>
        <v>0</v>
      </c>
      <c r="X102">
        <f>(ROUND((((S102+ROUND((ROUND(((EU102)*AV102*I102),2)*BS102),2))*AT102)/100),2)+ROUND(((ROUND((ROUND(((AE102-(EU102))*AV102*I102),2)*BS102),2)*AT102)/100),2))</f>
        <v>0</v>
      </c>
      <c r="Y102">
        <f>(ROUND((((S102+ROUND((ROUND(((EU102)*AV102*I102),2)*BS102),2))*AU102)/100),2)+ROUND(((ROUND((ROUND(((AE102-(EU102))*AV102*I102),2)*BS102),2)*AU102)/100),2))</f>
        <v>0</v>
      </c>
      <c r="AA102">
        <v>76282491</v>
      </c>
      <c r="AB102">
        <f t="shared" si="88"/>
        <v>0</v>
      </c>
      <c r="AC102">
        <f>ROUND((ES102),6)</f>
        <v>0</v>
      </c>
      <c r="AD102">
        <f>ROUND((((ET102)-(EU102))+AE102),6)</f>
        <v>0</v>
      </c>
      <c r="AE102">
        <f t="shared" si="106"/>
        <v>0</v>
      </c>
      <c r="AF102">
        <f t="shared" si="106"/>
        <v>0</v>
      </c>
      <c r="AG102">
        <f t="shared" si="89"/>
        <v>0</v>
      </c>
      <c r="AH102">
        <f t="shared" si="107"/>
        <v>0</v>
      </c>
      <c r="AI102">
        <f t="shared" si="107"/>
        <v>0</v>
      </c>
      <c r="AJ102">
        <f t="shared" si="90"/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97</v>
      </c>
      <c r="AU102">
        <v>51</v>
      </c>
      <c r="AV102">
        <v>1</v>
      </c>
      <c r="AW102">
        <v>1</v>
      </c>
      <c r="AZ102">
        <v>1</v>
      </c>
      <c r="BA102">
        <v>1</v>
      </c>
      <c r="BB102">
        <v>1</v>
      </c>
      <c r="BC102">
        <v>1</v>
      </c>
      <c r="BD102" t="s">
        <v>3</v>
      </c>
      <c r="BE102" t="s">
        <v>3</v>
      </c>
      <c r="BF102" t="s">
        <v>3</v>
      </c>
      <c r="BG102" t="s">
        <v>3</v>
      </c>
      <c r="BH102">
        <v>3</v>
      </c>
      <c r="BI102">
        <v>2</v>
      </c>
      <c r="BJ102" t="s">
        <v>3</v>
      </c>
      <c r="BM102">
        <v>67</v>
      </c>
      <c r="BN102">
        <v>0</v>
      </c>
      <c r="BO102" t="s">
        <v>3</v>
      </c>
      <c r="BP102">
        <v>0</v>
      </c>
      <c r="BQ102">
        <v>40</v>
      </c>
      <c r="BR102">
        <v>0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 t="s">
        <v>3</v>
      </c>
      <c r="BZ102">
        <v>97</v>
      </c>
      <c r="CA102">
        <v>51</v>
      </c>
      <c r="CB102" t="s">
        <v>3</v>
      </c>
      <c r="CE102">
        <v>1566</v>
      </c>
      <c r="CF102">
        <v>0</v>
      </c>
      <c r="CG102">
        <v>0</v>
      </c>
      <c r="CM102">
        <v>0</v>
      </c>
      <c r="CN102" t="s">
        <v>454</v>
      </c>
      <c r="CO102">
        <v>0</v>
      </c>
      <c r="CP102">
        <f t="shared" si="91"/>
        <v>0</v>
      </c>
      <c r="CQ102">
        <f t="shared" si="92"/>
        <v>0</v>
      </c>
      <c r="CR102">
        <f>(ROUND((ROUND(((ET102)*AV102*1),2)*BB102),2)+ROUND((ROUND(((AE102-(EU102))*AV102*1),2)*BS102),2))</f>
        <v>0</v>
      </c>
      <c r="CS102">
        <f>(ROUND((ROUND(((EU102)*AV102*1),2)*BS102),2)+ROUND((ROUND(((AE102-(EU102))*AV102*1),2)*BS102),2))</f>
        <v>0</v>
      </c>
      <c r="CT102">
        <f t="shared" si="93"/>
        <v>0</v>
      </c>
      <c r="CU102">
        <f t="shared" si="94"/>
        <v>0</v>
      </c>
      <c r="CV102">
        <f t="shared" si="95"/>
        <v>0</v>
      </c>
      <c r="CW102">
        <f t="shared" si="96"/>
        <v>0</v>
      </c>
      <c r="CX102">
        <f t="shared" si="97"/>
        <v>0</v>
      </c>
      <c r="CY102">
        <f>(ROUND((((S102+ROUND((ROUND(((EU102)*AV102*1),2)*BS102),2))*AT102)/100),2)+ROUND(((ROUND((ROUND(((AE102-(EU102))*AV102*1),2)*BS102),2)*AT102)/100),2))</f>
        <v>0</v>
      </c>
      <c r="CZ102">
        <f>(ROUND((((S102+ROUND((ROUND(((EU102)*AV102*1),2)*BS102),2))*AU102)/100),2)+ROUND(((ROUND((ROUND(((AE102-(EU102))*AV102*1),2)*BS102),2)*AU102)/100),2))</f>
        <v>0</v>
      </c>
      <c r="DC102" t="s">
        <v>3</v>
      </c>
      <c r="DD102" t="s">
        <v>3</v>
      </c>
      <c r="DE102" t="s">
        <v>3</v>
      </c>
      <c r="DF102" t="s">
        <v>3</v>
      </c>
      <c r="DG102" t="s">
        <v>3</v>
      </c>
      <c r="DH102" t="s">
        <v>3</v>
      </c>
      <c r="DI102" t="s">
        <v>3</v>
      </c>
      <c r="DJ102" t="s">
        <v>3</v>
      </c>
      <c r="DK102" t="s">
        <v>3</v>
      </c>
      <c r="DL102" t="s">
        <v>3</v>
      </c>
      <c r="DM102" t="s">
        <v>3</v>
      </c>
      <c r="DN102">
        <v>0</v>
      </c>
      <c r="DO102">
        <v>0</v>
      </c>
      <c r="DP102">
        <v>1</v>
      </c>
      <c r="DQ102">
        <v>1</v>
      </c>
      <c r="DU102">
        <v>1009</v>
      </c>
      <c r="DV102" t="s">
        <v>39</v>
      </c>
      <c r="DW102" t="s">
        <v>39</v>
      </c>
      <c r="DX102">
        <v>1000</v>
      </c>
      <c r="DZ102" t="s">
        <v>3</v>
      </c>
      <c r="EA102" t="s">
        <v>3</v>
      </c>
      <c r="EB102" t="s">
        <v>3</v>
      </c>
      <c r="EC102" t="s">
        <v>3</v>
      </c>
      <c r="EE102">
        <v>76282301</v>
      </c>
      <c r="EF102">
        <v>40</v>
      </c>
      <c r="EG102" t="s">
        <v>20</v>
      </c>
      <c r="EH102">
        <v>0</v>
      </c>
      <c r="EI102" t="s">
        <v>3</v>
      </c>
      <c r="EJ102">
        <v>2</v>
      </c>
      <c r="EK102">
        <v>67</v>
      </c>
      <c r="EL102" t="s">
        <v>21</v>
      </c>
      <c r="EM102" t="s">
        <v>22</v>
      </c>
      <c r="EO102" t="s">
        <v>62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FQ102">
        <v>0</v>
      </c>
      <c r="FR102">
        <v>0</v>
      </c>
      <c r="FS102">
        <v>0</v>
      </c>
      <c r="FX102">
        <v>97</v>
      </c>
      <c r="FY102">
        <v>51</v>
      </c>
      <c r="GA102" t="s">
        <v>3</v>
      </c>
      <c r="GD102">
        <v>1</v>
      </c>
      <c r="GF102">
        <v>-21282126</v>
      </c>
      <c r="GG102">
        <v>2</v>
      </c>
      <c r="GH102">
        <v>0</v>
      </c>
      <c r="GI102">
        <v>-2</v>
      </c>
      <c r="GJ102">
        <v>0</v>
      </c>
      <c r="GK102">
        <v>0</v>
      </c>
      <c r="GL102">
        <f t="shared" si="98"/>
        <v>0</v>
      </c>
      <c r="GM102">
        <f t="shared" si="99"/>
        <v>0</v>
      </c>
      <c r="GN102">
        <f t="shared" si="100"/>
        <v>0</v>
      </c>
      <c r="GO102">
        <f t="shared" si="101"/>
        <v>0</v>
      </c>
      <c r="GP102">
        <f t="shared" si="102"/>
        <v>0</v>
      </c>
      <c r="GR102">
        <v>0</v>
      </c>
      <c r="GS102">
        <v>0</v>
      </c>
      <c r="GT102">
        <v>0</v>
      </c>
      <c r="GU102" t="s">
        <v>3</v>
      </c>
      <c r="GV102">
        <f t="shared" si="103"/>
        <v>0</v>
      </c>
      <c r="GW102">
        <v>1</v>
      </c>
      <c r="GX102">
        <f t="shared" si="104"/>
        <v>0</v>
      </c>
      <c r="HA102">
        <v>0</v>
      </c>
      <c r="HB102">
        <v>0</v>
      </c>
      <c r="HC102">
        <f t="shared" si="105"/>
        <v>0</v>
      </c>
      <c r="HE102" t="s">
        <v>3</v>
      </c>
      <c r="HF102" t="s">
        <v>3</v>
      </c>
      <c r="HM102" t="s">
        <v>60</v>
      </c>
      <c r="HN102" t="s">
        <v>3</v>
      </c>
      <c r="HO102" t="s">
        <v>3</v>
      </c>
      <c r="HP102" t="s">
        <v>3</v>
      </c>
      <c r="HQ102" t="s">
        <v>3</v>
      </c>
      <c r="HS102">
        <v>0</v>
      </c>
      <c r="IK102">
        <v>0</v>
      </c>
    </row>
    <row r="103" spans="1:245">
      <c r="A103">
        <v>17</v>
      </c>
      <c r="B103">
        <v>1</v>
      </c>
      <c r="E103" t="s">
        <v>204</v>
      </c>
      <c r="F103" t="s">
        <v>51</v>
      </c>
      <c r="G103" t="s">
        <v>205</v>
      </c>
      <c r="H103" t="s">
        <v>32</v>
      </c>
      <c r="I103">
        <v>1</v>
      </c>
      <c r="J103">
        <v>0</v>
      </c>
      <c r="K103">
        <v>1</v>
      </c>
      <c r="O103">
        <f t="shared" si="81"/>
        <v>999.86</v>
      </c>
      <c r="P103">
        <f>ROUND((ROUND((AC103*I103),2)*BC103),2)</f>
        <v>999.86</v>
      </c>
      <c r="Q103">
        <f>(ROUND((ROUND(((ET103)*AV103*I103),2)*BB103),2)+ROUND((ROUND(((AE103-(EU103))*AV103*I103),2)*BS103),2))</f>
        <v>0</v>
      </c>
      <c r="R103">
        <f>(ROUND((ROUND(((EU103)*AV103*I103),2)*BS103),2)+ROUND((ROUND(((AE103-(EU103))*AV103*I103),2)*BS103),2))</f>
        <v>0</v>
      </c>
      <c r="S103">
        <f t="shared" si="83"/>
        <v>0</v>
      </c>
      <c r="T103">
        <f t="shared" si="84"/>
        <v>0</v>
      </c>
      <c r="U103">
        <f t="shared" si="85"/>
        <v>0</v>
      </c>
      <c r="V103">
        <f t="shared" si="86"/>
        <v>0</v>
      </c>
      <c r="W103">
        <f t="shared" si="87"/>
        <v>0</v>
      </c>
      <c r="X103">
        <f>(ROUND((((S103+ROUND((ROUND(((EU103)*AV103*I103),2)*BS103),2))*AT103)/100),2)+ROUND(((ROUND((ROUND(((AE103-(EU103))*AV103*I103),2)*BS103),2)*AT103)/100),2))</f>
        <v>0</v>
      </c>
      <c r="Y103">
        <f>(ROUND((((S103+ROUND((ROUND(((EU103)*AV103*I103),2)*BS103),2))*AU103)/100),2)+ROUND(((ROUND((ROUND(((AE103-(EU103))*AV103*I103),2)*BS103),2)*AU103)/100),2))</f>
        <v>0</v>
      </c>
      <c r="AA103">
        <v>76282491</v>
      </c>
      <c r="AB103">
        <f t="shared" si="88"/>
        <v>999.86</v>
      </c>
      <c r="AC103">
        <f>ROUND((ES103),6)</f>
        <v>999.86</v>
      </c>
      <c r="AD103">
        <f>ROUND((((ET103)-(EU103))+AE103),6)</f>
        <v>0</v>
      </c>
      <c r="AE103">
        <f t="shared" si="106"/>
        <v>0</v>
      </c>
      <c r="AF103">
        <f t="shared" si="106"/>
        <v>0</v>
      </c>
      <c r="AG103">
        <f t="shared" si="89"/>
        <v>0</v>
      </c>
      <c r="AH103">
        <f t="shared" si="107"/>
        <v>0</v>
      </c>
      <c r="AI103">
        <f t="shared" si="107"/>
        <v>0</v>
      </c>
      <c r="AJ103">
        <f t="shared" si="90"/>
        <v>0</v>
      </c>
      <c r="AK103">
        <v>999.86</v>
      </c>
      <c r="AL103">
        <v>999.86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Z103">
        <v>1</v>
      </c>
      <c r="BA103">
        <v>1</v>
      </c>
      <c r="BB103">
        <v>1</v>
      </c>
      <c r="BC103">
        <v>1</v>
      </c>
      <c r="BD103" t="s">
        <v>3</v>
      </c>
      <c r="BE103" t="s">
        <v>3</v>
      </c>
      <c r="BF103" t="s">
        <v>3</v>
      </c>
      <c r="BG103" t="s">
        <v>3</v>
      </c>
      <c r="BH103">
        <v>3</v>
      </c>
      <c r="BI103">
        <v>3</v>
      </c>
      <c r="BJ103" t="s">
        <v>3</v>
      </c>
      <c r="BM103">
        <v>746</v>
      </c>
      <c r="BN103">
        <v>0</v>
      </c>
      <c r="BO103" t="s">
        <v>3</v>
      </c>
      <c r="BP103">
        <v>0</v>
      </c>
      <c r="BQ103">
        <v>130</v>
      </c>
      <c r="BR103">
        <v>0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 t="s">
        <v>3</v>
      </c>
      <c r="BZ103">
        <v>0</v>
      </c>
      <c r="CA103">
        <v>0</v>
      </c>
      <c r="CB103" t="s">
        <v>3</v>
      </c>
      <c r="CE103">
        <v>1566</v>
      </c>
      <c r="CF103">
        <v>0</v>
      </c>
      <c r="CG103">
        <v>0</v>
      </c>
      <c r="CM103">
        <v>0</v>
      </c>
      <c r="CN103" t="s">
        <v>3</v>
      </c>
      <c r="CO103">
        <v>0</v>
      </c>
      <c r="CP103">
        <f t="shared" si="91"/>
        <v>999.86</v>
      </c>
      <c r="CQ103">
        <f>ROUND((ROUND((AC103*1),2)*BC103),2)</f>
        <v>999.86</v>
      </c>
      <c r="CR103">
        <f>(ROUND((ROUND(((ET103)*AV103*1),2)*BB103),2)+ROUND((ROUND(((AE103-(EU103))*AV103*1),2)*BS103),2))</f>
        <v>0</v>
      </c>
      <c r="CS103">
        <f>(ROUND((ROUND(((EU103)*AV103*1),2)*BS103),2)+ROUND((ROUND(((AE103-(EU103))*AV103*1),2)*BS103),2))</f>
        <v>0</v>
      </c>
      <c r="CT103">
        <f t="shared" si="93"/>
        <v>0</v>
      </c>
      <c r="CU103">
        <f t="shared" si="94"/>
        <v>0</v>
      </c>
      <c r="CV103">
        <f t="shared" si="95"/>
        <v>0</v>
      </c>
      <c r="CW103">
        <f t="shared" si="96"/>
        <v>0</v>
      </c>
      <c r="CX103">
        <f t="shared" si="97"/>
        <v>0</v>
      </c>
      <c r="CY103">
        <f>(ROUND((((S103+ROUND((ROUND(((EU103)*AV103*1),2)*BS103),2))*AT103)/100),2)+ROUND(((ROUND((ROUND(((AE103-(EU103))*AV103*1),2)*BS103),2)*AT103)/100),2))</f>
        <v>0</v>
      </c>
      <c r="CZ103">
        <f>(ROUND((((S103+ROUND((ROUND(((EU103)*AV103*1),2)*BS103),2))*AU103)/100),2)+ROUND(((ROUND((ROUND(((AE103-(EU103))*AV103*1),2)*BS103),2)*AU103)/100),2))</f>
        <v>0</v>
      </c>
      <c r="DC103" t="s">
        <v>3</v>
      </c>
      <c r="DD103" t="s">
        <v>3</v>
      </c>
      <c r="DE103" t="s">
        <v>3</v>
      </c>
      <c r="DF103" t="s">
        <v>3</v>
      </c>
      <c r="DG103" t="s">
        <v>3</v>
      </c>
      <c r="DH103" t="s">
        <v>3</v>
      </c>
      <c r="DI103" t="s">
        <v>3</v>
      </c>
      <c r="DJ103" t="s">
        <v>3</v>
      </c>
      <c r="DK103" t="s">
        <v>3</v>
      </c>
      <c r="DL103" t="s">
        <v>3</v>
      </c>
      <c r="DM103" t="s">
        <v>3</v>
      </c>
      <c r="DN103">
        <v>0</v>
      </c>
      <c r="DO103">
        <v>0</v>
      </c>
      <c r="DP103">
        <v>1</v>
      </c>
      <c r="DQ103">
        <v>1</v>
      </c>
      <c r="DU103">
        <v>1010</v>
      </c>
      <c r="DV103" t="s">
        <v>32</v>
      </c>
      <c r="DW103" t="s">
        <v>32</v>
      </c>
      <c r="DX103">
        <v>1</v>
      </c>
      <c r="DZ103" t="s">
        <v>3</v>
      </c>
      <c r="EA103" t="s">
        <v>3</v>
      </c>
      <c r="EB103" t="s">
        <v>3</v>
      </c>
      <c r="EC103" t="s">
        <v>3</v>
      </c>
      <c r="EE103">
        <v>76282427</v>
      </c>
      <c r="EF103">
        <v>130</v>
      </c>
      <c r="EG103" t="s">
        <v>53</v>
      </c>
      <c r="EH103">
        <v>0</v>
      </c>
      <c r="EI103" t="s">
        <v>3</v>
      </c>
      <c r="EJ103">
        <v>3</v>
      </c>
      <c r="EK103">
        <v>746</v>
      </c>
      <c r="EL103" t="s">
        <v>54</v>
      </c>
      <c r="EM103" t="s">
        <v>55</v>
      </c>
      <c r="EO103" t="s">
        <v>3</v>
      </c>
      <c r="EQ103">
        <v>131072</v>
      </c>
      <c r="ER103">
        <v>999.86</v>
      </c>
      <c r="ES103">
        <v>999.86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5</v>
      </c>
      <c r="FC103">
        <v>0</v>
      </c>
      <c r="FD103">
        <v>18</v>
      </c>
      <c r="FF103">
        <v>988</v>
      </c>
      <c r="FQ103">
        <v>0</v>
      </c>
      <c r="FR103">
        <f>P103</f>
        <v>999.86</v>
      </c>
      <c r="FS103">
        <v>0</v>
      </c>
      <c r="FX103">
        <v>0</v>
      </c>
      <c r="FY103">
        <v>0</v>
      </c>
      <c r="GA103" t="s">
        <v>206</v>
      </c>
      <c r="GD103">
        <v>1</v>
      </c>
      <c r="GF103">
        <v>1741647076</v>
      </c>
      <c r="GG103">
        <v>2</v>
      </c>
      <c r="GH103">
        <v>3</v>
      </c>
      <c r="GI103">
        <v>-2</v>
      </c>
      <c r="GJ103">
        <v>0</v>
      </c>
      <c r="GK103">
        <v>0</v>
      </c>
      <c r="GL103">
        <f t="shared" si="98"/>
        <v>0</v>
      </c>
      <c r="GM103">
        <f t="shared" si="99"/>
        <v>999.86</v>
      </c>
      <c r="GN103">
        <f t="shared" si="100"/>
        <v>0</v>
      </c>
      <c r="GO103">
        <f t="shared" si="101"/>
        <v>0</v>
      </c>
      <c r="GP103">
        <f t="shared" si="102"/>
        <v>0</v>
      </c>
      <c r="GR103">
        <v>1</v>
      </c>
      <c r="GS103">
        <v>1</v>
      </c>
      <c r="GT103">
        <v>0</v>
      </c>
      <c r="GU103" t="s">
        <v>3</v>
      </c>
      <c r="GV103">
        <f t="shared" si="103"/>
        <v>0</v>
      </c>
      <c r="GW103">
        <v>1</v>
      </c>
      <c r="GX103">
        <f t="shared" si="104"/>
        <v>0</v>
      </c>
      <c r="HA103">
        <v>0</v>
      </c>
      <c r="HB103">
        <v>0</v>
      </c>
      <c r="HC103">
        <f t="shared" si="105"/>
        <v>0</v>
      </c>
      <c r="HE103" t="s">
        <v>57</v>
      </c>
      <c r="HF103" t="s">
        <v>29</v>
      </c>
      <c r="HM103" t="s">
        <v>3</v>
      </c>
      <c r="HN103" t="s">
        <v>3</v>
      </c>
      <c r="HO103" t="s">
        <v>3</v>
      </c>
      <c r="HP103" t="s">
        <v>3</v>
      </c>
      <c r="HQ103" t="s">
        <v>3</v>
      </c>
      <c r="HS103">
        <v>0</v>
      </c>
      <c r="IK103">
        <v>0</v>
      </c>
    </row>
    <row r="104" spans="1:245">
      <c r="A104">
        <v>17</v>
      </c>
      <c r="B104">
        <v>1</v>
      </c>
      <c r="E104" t="s">
        <v>207</v>
      </c>
      <c r="F104" t="s">
        <v>208</v>
      </c>
      <c r="G104" t="s">
        <v>209</v>
      </c>
      <c r="H104" t="s">
        <v>210</v>
      </c>
      <c r="I104">
        <f>ROUND(30/100,9)</f>
        <v>0.3</v>
      </c>
      <c r="J104">
        <v>0</v>
      </c>
      <c r="K104">
        <f>ROUND(30/100,9)</f>
        <v>0.3</v>
      </c>
      <c r="O104">
        <f t="shared" si="81"/>
        <v>9316.2900000000009</v>
      </c>
      <c r="P104">
        <f t="shared" ref="P104:P119" si="108">ROUND((ROUND((AC104*AW104*I104),2)*BC104),2)</f>
        <v>751.48</v>
      </c>
      <c r="Q104">
        <f>(ROUND((ROUND((((ET104*1.2))*AV104*I104),2)*BB104),2)+ROUND((ROUND(((AE104-((EU104*1.2)))*AV104*I104),2)*BS104),2))</f>
        <v>133.01</v>
      </c>
      <c r="R104">
        <f>(ROUND((ROUND((((EU104*1.2))*AV104*I104),2)*BS104),2)+ROUND((ROUND(((AE104-((EU104*1.2)))*AV104*I104),2)*BS104),2))</f>
        <v>76.239999999999995</v>
      </c>
      <c r="S104">
        <f t="shared" si="83"/>
        <v>8431.7999999999993</v>
      </c>
      <c r="T104">
        <f t="shared" si="84"/>
        <v>0</v>
      </c>
      <c r="U104">
        <f t="shared" si="85"/>
        <v>12.164399999999999</v>
      </c>
      <c r="V104">
        <f t="shared" si="86"/>
        <v>0</v>
      </c>
      <c r="W104">
        <f t="shared" si="87"/>
        <v>0</v>
      </c>
      <c r="X104">
        <f>(ROUND((((S104+ROUND((ROUND((((EU104*1.2))*AV104*I104),2)*BS104),2))*AT104)/100),2)+ROUND(((ROUND((ROUND(((AE104-((EU104*1.2)))*AV104*I104),2)*BS104),2)*AT104)/100),2))</f>
        <v>8252.7999999999993</v>
      </c>
      <c r="Y104">
        <f>(ROUND((((S104+ROUND((ROUND((((EU104*1.2))*AV104*I104),2)*BS104),2))*AU104)/100),2)+ROUND(((ROUND((ROUND(((AE104-((EU104*1.2)))*AV104*I104),2)*BS104),2)*AU104)/100),2))</f>
        <v>4339.1000000000004</v>
      </c>
      <c r="AA104">
        <v>76282491</v>
      </c>
      <c r="AB104">
        <f t="shared" si="88"/>
        <v>1534.2819999999999</v>
      </c>
      <c r="AC104">
        <f>ROUND(((ES104*1)),6)</f>
        <v>1018.27</v>
      </c>
      <c r="AD104">
        <f>ROUND(((((ET104*1.2))-((EU104*1.2)))+AE104),6)</f>
        <v>29.411999999999999</v>
      </c>
      <c r="AE104">
        <f>ROUND(((EU104*1.2)),6)</f>
        <v>4.3920000000000003</v>
      </c>
      <c r="AF104">
        <f>ROUND(((EV104*1.2)),6)</f>
        <v>486.6</v>
      </c>
      <c r="AG104">
        <f t="shared" si="89"/>
        <v>0</v>
      </c>
      <c r="AH104">
        <f>((EW104*1.2))</f>
        <v>40.547999999999995</v>
      </c>
      <c r="AI104">
        <f>((EX104*1.2))</f>
        <v>0</v>
      </c>
      <c r="AJ104">
        <f t="shared" si="90"/>
        <v>0</v>
      </c>
      <c r="AK104">
        <v>1448.28</v>
      </c>
      <c r="AL104">
        <v>1018.27</v>
      </c>
      <c r="AM104">
        <v>24.51</v>
      </c>
      <c r="AN104">
        <v>3.66</v>
      </c>
      <c r="AO104">
        <v>405.5</v>
      </c>
      <c r="AP104">
        <v>0</v>
      </c>
      <c r="AQ104">
        <v>33.79</v>
      </c>
      <c r="AR104">
        <v>0</v>
      </c>
      <c r="AS104">
        <v>0</v>
      </c>
      <c r="AT104">
        <v>97</v>
      </c>
      <c r="AU104">
        <v>51</v>
      </c>
      <c r="AV104">
        <v>1</v>
      </c>
      <c r="AW104">
        <v>1</v>
      </c>
      <c r="AZ104">
        <v>1</v>
      </c>
      <c r="BA104">
        <v>57.76</v>
      </c>
      <c r="BB104">
        <v>15.08</v>
      </c>
      <c r="BC104">
        <v>2.46</v>
      </c>
      <c r="BD104" t="s">
        <v>3</v>
      </c>
      <c r="BE104" t="s">
        <v>3</v>
      </c>
      <c r="BF104" t="s">
        <v>3</v>
      </c>
      <c r="BG104" t="s">
        <v>3</v>
      </c>
      <c r="BH104">
        <v>0</v>
      </c>
      <c r="BI104">
        <v>2</v>
      </c>
      <c r="BJ104" t="s">
        <v>211</v>
      </c>
      <c r="BM104">
        <v>67</v>
      </c>
      <c r="BN104">
        <v>0</v>
      </c>
      <c r="BO104" t="s">
        <v>208</v>
      </c>
      <c r="BP104">
        <v>1</v>
      </c>
      <c r="BQ104">
        <v>40</v>
      </c>
      <c r="BR104">
        <v>0</v>
      </c>
      <c r="BS104">
        <v>57.76</v>
      </c>
      <c r="BT104">
        <v>1</v>
      </c>
      <c r="BU104">
        <v>1</v>
      </c>
      <c r="BV104">
        <v>1</v>
      </c>
      <c r="BW104">
        <v>1</v>
      </c>
      <c r="BX104">
        <v>1</v>
      </c>
      <c r="BY104" t="s">
        <v>3</v>
      </c>
      <c r="BZ104">
        <v>97</v>
      </c>
      <c r="CA104">
        <v>51</v>
      </c>
      <c r="CB104" t="s">
        <v>3</v>
      </c>
      <c r="CE104">
        <v>1566</v>
      </c>
      <c r="CF104">
        <v>0</v>
      </c>
      <c r="CG104">
        <v>0</v>
      </c>
      <c r="CM104">
        <v>0</v>
      </c>
      <c r="CN104" t="s">
        <v>454</v>
      </c>
      <c r="CO104">
        <v>0</v>
      </c>
      <c r="CP104">
        <f t="shared" si="91"/>
        <v>9316.2899999999991</v>
      </c>
      <c r="CQ104">
        <f t="shared" ref="CQ104:CQ119" si="109">ROUND((ROUND((AC104*AW104*1),2)*BC104),2)</f>
        <v>2504.94</v>
      </c>
      <c r="CR104">
        <f>(ROUND((ROUND((((ET104*1.2))*AV104*1),2)*BB104),2)+ROUND((ROUND(((AE104-((EU104*1.2)))*AV104*1),2)*BS104),2))</f>
        <v>443.5</v>
      </c>
      <c r="CS104">
        <f>(ROUND((ROUND((((EU104*1.2))*AV104*1),2)*BS104),2)+ROUND((ROUND(((AE104-((EU104*1.2)))*AV104*1),2)*BS104),2))</f>
        <v>253.57</v>
      </c>
      <c r="CT104">
        <f t="shared" si="93"/>
        <v>28106.02</v>
      </c>
      <c r="CU104">
        <f t="shared" si="94"/>
        <v>0</v>
      </c>
      <c r="CV104">
        <f t="shared" si="95"/>
        <v>40.547999999999995</v>
      </c>
      <c r="CW104">
        <f t="shared" si="96"/>
        <v>0</v>
      </c>
      <c r="CX104">
        <f t="shared" si="97"/>
        <v>0</v>
      </c>
      <c r="CY104">
        <f>(ROUND((((S104+ROUND((ROUND((((EU104*1.2))*AV104*1),2)*BS104),2))*AT104)/100),2)+ROUND(((ROUND((ROUND(((AE104-((EU104*1.2)))*AV104*1),2)*BS104),2)*AT104)/100),2))</f>
        <v>8424.81</v>
      </c>
      <c r="CZ104">
        <f>(ROUND((((S104+ROUND((ROUND((((EU104*1.2))*AV104*1),2)*BS104),2))*AU104)/100),2)+ROUND(((ROUND((ROUND(((AE104-((EU104*1.2)))*AV104*1),2)*BS104),2)*AU104)/100),2))</f>
        <v>4429.54</v>
      </c>
      <c r="DB104">
        <v>9</v>
      </c>
      <c r="DC104" t="s">
        <v>3</v>
      </c>
      <c r="DD104" t="s">
        <v>60</v>
      </c>
      <c r="DE104" t="s">
        <v>61</v>
      </c>
      <c r="DF104" t="s">
        <v>61</v>
      </c>
      <c r="DG104" t="s">
        <v>61</v>
      </c>
      <c r="DH104" t="s">
        <v>3</v>
      </c>
      <c r="DI104" t="s">
        <v>61</v>
      </c>
      <c r="DJ104" t="s">
        <v>61</v>
      </c>
      <c r="DK104" t="s">
        <v>3</v>
      </c>
      <c r="DL104" t="s">
        <v>3</v>
      </c>
      <c r="DM104" t="s">
        <v>3</v>
      </c>
      <c r="DN104">
        <v>0</v>
      </c>
      <c r="DO104">
        <v>0</v>
      </c>
      <c r="DP104">
        <v>1</v>
      </c>
      <c r="DQ104">
        <v>1</v>
      </c>
      <c r="DU104">
        <v>1003</v>
      </c>
      <c r="DV104" t="s">
        <v>210</v>
      </c>
      <c r="DW104" t="s">
        <v>210</v>
      </c>
      <c r="DX104">
        <v>100</v>
      </c>
      <c r="DZ104" t="s">
        <v>3</v>
      </c>
      <c r="EA104" t="s">
        <v>3</v>
      </c>
      <c r="EB104" t="s">
        <v>3</v>
      </c>
      <c r="EC104" t="s">
        <v>3</v>
      </c>
      <c r="EE104">
        <v>76282301</v>
      </c>
      <c r="EF104">
        <v>40</v>
      </c>
      <c r="EG104" t="s">
        <v>20</v>
      </c>
      <c r="EH104">
        <v>0</v>
      </c>
      <c r="EI104" t="s">
        <v>3</v>
      </c>
      <c r="EJ104">
        <v>2</v>
      </c>
      <c r="EK104">
        <v>67</v>
      </c>
      <c r="EL104" t="s">
        <v>21</v>
      </c>
      <c r="EM104" t="s">
        <v>22</v>
      </c>
      <c r="EO104" t="s">
        <v>62</v>
      </c>
      <c r="EQ104">
        <v>131072</v>
      </c>
      <c r="ER104">
        <v>1448.28</v>
      </c>
      <c r="ES104">
        <v>1018.27</v>
      </c>
      <c r="ET104">
        <v>24.51</v>
      </c>
      <c r="EU104">
        <v>3.66</v>
      </c>
      <c r="EV104">
        <v>405.5</v>
      </c>
      <c r="EW104">
        <v>33.79</v>
      </c>
      <c r="EX104">
        <v>0</v>
      </c>
      <c r="EY104">
        <v>0</v>
      </c>
      <c r="FQ104">
        <v>0</v>
      </c>
      <c r="FR104">
        <v>0</v>
      </c>
      <c r="FS104">
        <v>0</v>
      </c>
      <c r="FX104">
        <v>97</v>
      </c>
      <c r="FY104">
        <v>51</v>
      </c>
      <c r="GA104" t="s">
        <v>3</v>
      </c>
      <c r="GD104">
        <v>1</v>
      </c>
      <c r="GF104">
        <v>-283934161</v>
      </c>
      <c r="GG104">
        <v>2</v>
      </c>
      <c r="GH104">
        <v>0</v>
      </c>
      <c r="GI104">
        <v>2</v>
      </c>
      <c r="GJ104">
        <v>0</v>
      </c>
      <c r="GK104">
        <v>0</v>
      </c>
      <c r="GL104">
        <f t="shared" si="98"/>
        <v>0</v>
      </c>
      <c r="GM104">
        <f t="shared" si="99"/>
        <v>21908.19</v>
      </c>
      <c r="GN104">
        <f t="shared" si="100"/>
        <v>0</v>
      </c>
      <c r="GO104">
        <f t="shared" si="101"/>
        <v>21908.19</v>
      </c>
      <c r="GP104">
        <f t="shared" si="102"/>
        <v>0</v>
      </c>
      <c r="GR104">
        <v>0</v>
      </c>
      <c r="GS104">
        <v>7</v>
      </c>
      <c r="GT104">
        <v>0</v>
      </c>
      <c r="GU104" t="s">
        <v>3</v>
      </c>
      <c r="GV104">
        <f t="shared" si="103"/>
        <v>0</v>
      </c>
      <c r="GW104">
        <v>1</v>
      </c>
      <c r="GX104">
        <f t="shared" si="104"/>
        <v>0</v>
      </c>
      <c r="HA104">
        <v>0</v>
      </c>
      <c r="HB104">
        <v>0</v>
      </c>
      <c r="HC104">
        <f t="shared" si="105"/>
        <v>0</v>
      </c>
      <c r="HE104" t="s">
        <v>3</v>
      </c>
      <c r="HF104" t="s">
        <v>3</v>
      </c>
      <c r="HM104" t="s">
        <v>3</v>
      </c>
      <c r="HN104" t="s">
        <v>3</v>
      </c>
      <c r="HO104" t="s">
        <v>3</v>
      </c>
      <c r="HP104" t="s">
        <v>3</v>
      </c>
      <c r="HQ104" t="s">
        <v>3</v>
      </c>
      <c r="HS104">
        <v>0</v>
      </c>
      <c r="IK104">
        <v>0</v>
      </c>
    </row>
    <row r="105" spans="1:245">
      <c r="A105">
        <v>18</v>
      </c>
      <c r="B105">
        <v>1</v>
      </c>
      <c r="E105" t="s">
        <v>212</v>
      </c>
      <c r="F105" t="s">
        <v>213</v>
      </c>
      <c r="G105" t="s">
        <v>214</v>
      </c>
      <c r="H105" t="s">
        <v>215</v>
      </c>
      <c r="I105">
        <f>I104*J105</f>
        <v>0</v>
      </c>
      <c r="J105">
        <v>0</v>
      </c>
      <c r="K105">
        <v>0</v>
      </c>
      <c r="O105">
        <f t="shared" si="81"/>
        <v>0</v>
      </c>
      <c r="P105">
        <f t="shared" si="108"/>
        <v>0</v>
      </c>
      <c r="Q105">
        <f t="shared" ref="Q105:Q112" si="110">(ROUND((ROUND(((ET105)*AV105*I105),2)*BB105),2)+ROUND((ROUND(((AE105-(EU105))*AV105*I105),2)*BS105),2))</f>
        <v>0</v>
      </c>
      <c r="R105">
        <f t="shared" ref="R105:R112" si="111">(ROUND((ROUND(((EU105)*AV105*I105),2)*BS105),2)+ROUND((ROUND(((AE105-(EU105))*AV105*I105),2)*BS105),2))</f>
        <v>0</v>
      </c>
      <c r="S105">
        <f t="shared" si="83"/>
        <v>0</v>
      </c>
      <c r="T105">
        <f t="shared" si="84"/>
        <v>0</v>
      </c>
      <c r="U105">
        <f t="shared" si="85"/>
        <v>0</v>
      </c>
      <c r="V105">
        <f t="shared" si="86"/>
        <v>0</v>
      </c>
      <c r="W105">
        <f t="shared" si="87"/>
        <v>0</v>
      </c>
      <c r="X105">
        <f t="shared" ref="X105:X112" si="112">(ROUND((((S105+ROUND((ROUND(((EU105)*AV105*I105),2)*BS105),2))*AT105)/100),2)+ROUND(((ROUND((ROUND(((AE105-(EU105))*AV105*I105),2)*BS105),2)*AT105)/100),2))</f>
        <v>0</v>
      </c>
      <c r="Y105">
        <f t="shared" ref="Y105:Y112" si="113">(ROUND((((S105+ROUND((ROUND(((EU105)*AV105*I105),2)*BS105),2))*AU105)/100),2)+ROUND(((ROUND((ROUND(((AE105-(EU105))*AV105*I105),2)*BS105),2)*AU105)/100),2))</f>
        <v>0</v>
      </c>
      <c r="AA105">
        <v>76282491</v>
      </c>
      <c r="AB105">
        <f t="shared" si="88"/>
        <v>0</v>
      </c>
      <c r="AC105">
        <f t="shared" ref="AC105:AC112" si="114">ROUND((ES105),6)</f>
        <v>0</v>
      </c>
      <c r="AD105">
        <f t="shared" ref="AD105:AD112" si="115">ROUND((((ET105)-(EU105))+AE105),6)</f>
        <v>0</v>
      </c>
      <c r="AE105">
        <f t="shared" ref="AE105:AF112" si="116">ROUND((EU105),6)</f>
        <v>0</v>
      </c>
      <c r="AF105">
        <f t="shared" si="116"/>
        <v>0</v>
      </c>
      <c r="AG105">
        <f t="shared" si="89"/>
        <v>0</v>
      </c>
      <c r="AH105">
        <f t="shared" ref="AH105:AI112" si="117">(EW105)</f>
        <v>0</v>
      </c>
      <c r="AI105">
        <f t="shared" si="117"/>
        <v>0</v>
      </c>
      <c r="AJ105">
        <f t="shared" si="90"/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97</v>
      </c>
      <c r="AU105">
        <v>51</v>
      </c>
      <c r="AV105">
        <v>1</v>
      </c>
      <c r="AW105">
        <v>1</v>
      </c>
      <c r="AZ105">
        <v>1</v>
      </c>
      <c r="BA105">
        <v>1</v>
      </c>
      <c r="BB105">
        <v>1</v>
      </c>
      <c r="BC105">
        <v>1</v>
      </c>
      <c r="BD105" t="s">
        <v>3</v>
      </c>
      <c r="BE105" t="s">
        <v>3</v>
      </c>
      <c r="BF105" t="s">
        <v>3</v>
      </c>
      <c r="BG105" t="s">
        <v>3</v>
      </c>
      <c r="BH105">
        <v>3</v>
      </c>
      <c r="BI105">
        <v>2</v>
      </c>
      <c r="BJ105" t="s">
        <v>3</v>
      </c>
      <c r="BM105">
        <v>67</v>
      </c>
      <c r="BN105">
        <v>0</v>
      </c>
      <c r="BO105" t="s">
        <v>3</v>
      </c>
      <c r="BP105">
        <v>0</v>
      </c>
      <c r="BQ105">
        <v>40</v>
      </c>
      <c r="BR105">
        <v>0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1</v>
      </c>
      <c r="BY105" t="s">
        <v>3</v>
      </c>
      <c r="BZ105">
        <v>97</v>
      </c>
      <c r="CA105">
        <v>51</v>
      </c>
      <c r="CB105" t="s">
        <v>3</v>
      </c>
      <c r="CE105">
        <v>1566</v>
      </c>
      <c r="CF105">
        <v>0</v>
      </c>
      <c r="CG105">
        <v>0</v>
      </c>
      <c r="CM105">
        <v>0</v>
      </c>
      <c r="CN105" t="s">
        <v>454</v>
      </c>
      <c r="CO105">
        <v>0</v>
      </c>
      <c r="CP105">
        <f t="shared" si="91"/>
        <v>0</v>
      </c>
      <c r="CQ105">
        <f t="shared" si="109"/>
        <v>0</v>
      </c>
      <c r="CR105">
        <f t="shared" ref="CR105:CR112" si="118">(ROUND((ROUND(((ET105)*AV105*1),2)*BB105),2)+ROUND((ROUND(((AE105-(EU105))*AV105*1),2)*BS105),2))</f>
        <v>0</v>
      </c>
      <c r="CS105">
        <f t="shared" ref="CS105:CS112" si="119">(ROUND((ROUND(((EU105)*AV105*1),2)*BS105),2)+ROUND((ROUND(((AE105-(EU105))*AV105*1),2)*BS105),2))</f>
        <v>0</v>
      </c>
      <c r="CT105">
        <f t="shared" si="93"/>
        <v>0</v>
      </c>
      <c r="CU105">
        <f t="shared" si="94"/>
        <v>0</v>
      </c>
      <c r="CV105">
        <f t="shared" si="95"/>
        <v>0</v>
      </c>
      <c r="CW105">
        <f t="shared" si="96"/>
        <v>0</v>
      </c>
      <c r="CX105">
        <f t="shared" si="97"/>
        <v>0</v>
      </c>
      <c r="CY105">
        <f t="shared" ref="CY105:CY112" si="120">(ROUND((((S105+ROUND((ROUND(((EU105)*AV105*1),2)*BS105),2))*AT105)/100),2)+ROUND(((ROUND((ROUND(((AE105-(EU105))*AV105*1),2)*BS105),2)*AT105)/100),2))</f>
        <v>0</v>
      </c>
      <c r="CZ105">
        <f t="shared" ref="CZ105:CZ112" si="121">(ROUND((((S105+ROUND((ROUND(((EU105)*AV105*1),2)*BS105),2))*AU105)/100),2)+ROUND(((ROUND((ROUND(((AE105-(EU105))*AV105*1),2)*BS105),2)*AU105)/100),2))</f>
        <v>0</v>
      </c>
      <c r="DC105" t="s">
        <v>3</v>
      </c>
      <c r="DD105" t="s">
        <v>3</v>
      </c>
      <c r="DE105" t="s">
        <v>3</v>
      </c>
      <c r="DF105" t="s">
        <v>3</v>
      </c>
      <c r="DG105" t="s">
        <v>3</v>
      </c>
      <c r="DH105" t="s">
        <v>3</v>
      </c>
      <c r="DI105" t="s">
        <v>3</v>
      </c>
      <c r="DJ105" t="s">
        <v>3</v>
      </c>
      <c r="DK105" t="s">
        <v>3</v>
      </c>
      <c r="DL105" t="s">
        <v>3</v>
      </c>
      <c r="DM105" t="s">
        <v>3</v>
      </c>
      <c r="DN105">
        <v>0</v>
      </c>
      <c r="DO105">
        <v>0</v>
      </c>
      <c r="DP105">
        <v>1</v>
      </c>
      <c r="DQ105">
        <v>1</v>
      </c>
      <c r="DU105">
        <v>1003</v>
      </c>
      <c r="DV105" t="s">
        <v>215</v>
      </c>
      <c r="DW105" t="s">
        <v>215</v>
      </c>
      <c r="DX105">
        <v>1</v>
      </c>
      <c r="DZ105" t="s">
        <v>3</v>
      </c>
      <c r="EA105" t="s">
        <v>3</v>
      </c>
      <c r="EB105" t="s">
        <v>3</v>
      </c>
      <c r="EC105" t="s">
        <v>3</v>
      </c>
      <c r="EE105">
        <v>76282301</v>
      </c>
      <c r="EF105">
        <v>40</v>
      </c>
      <c r="EG105" t="s">
        <v>20</v>
      </c>
      <c r="EH105">
        <v>0</v>
      </c>
      <c r="EI105" t="s">
        <v>3</v>
      </c>
      <c r="EJ105">
        <v>2</v>
      </c>
      <c r="EK105">
        <v>67</v>
      </c>
      <c r="EL105" t="s">
        <v>21</v>
      </c>
      <c r="EM105" t="s">
        <v>22</v>
      </c>
      <c r="EO105" t="s">
        <v>62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FQ105">
        <v>0</v>
      </c>
      <c r="FR105">
        <v>0</v>
      </c>
      <c r="FS105">
        <v>0</v>
      </c>
      <c r="FX105">
        <v>97</v>
      </c>
      <c r="FY105">
        <v>51</v>
      </c>
      <c r="GA105" t="s">
        <v>3</v>
      </c>
      <c r="GD105">
        <v>1</v>
      </c>
      <c r="GF105">
        <v>1276083449</v>
      </c>
      <c r="GG105">
        <v>2</v>
      </c>
      <c r="GH105">
        <v>0</v>
      </c>
      <c r="GI105">
        <v>-2</v>
      </c>
      <c r="GJ105">
        <v>0</v>
      </c>
      <c r="GK105">
        <v>0</v>
      </c>
      <c r="GL105">
        <f t="shared" si="98"/>
        <v>0</v>
      </c>
      <c r="GM105">
        <f t="shared" si="99"/>
        <v>0</v>
      </c>
      <c r="GN105">
        <f t="shared" si="100"/>
        <v>0</v>
      </c>
      <c r="GO105">
        <f t="shared" si="101"/>
        <v>0</v>
      </c>
      <c r="GP105">
        <f t="shared" si="102"/>
        <v>0</v>
      </c>
      <c r="GR105">
        <v>0</v>
      </c>
      <c r="GS105">
        <v>0</v>
      </c>
      <c r="GT105">
        <v>0</v>
      </c>
      <c r="GU105" t="s">
        <v>3</v>
      </c>
      <c r="GV105">
        <f t="shared" si="103"/>
        <v>0</v>
      </c>
      <c r="GW105">
        <v>1</v>
      </c>
      <c r="GX105">
        <f t="shared" si="104"/>
        <v>0</v>
      </c>
      <c r="HA105">
        <v>0</v>
      </c>
      <c r="HB105">
        <v>0</v>
      </c>
      <c r="HC105">
        <f t="shared" si="105"/>
        <v>0</v>
      </c>
      <c r="HE105" t="s">
        <v>3</v>
      </c>
      <c r="HF105" t="s">
        <v>3</v>
      </c>
      <c r="HM105" t="s">
        <v>60</v>
      </c>
      <c r="HN105" t="s">
        <v>3</v>
      </c>
      <c r="HO105" t="s">
        <v>3</v>
      </c>
      <c r="HP105" t="s">
        <v>3</v>
      </c>
      <c r="HQ105" t="s">
        <v>3</v>
      </c>
      <c r="HS105">
        <v>0</v>
      </c>
      <c r="IK105">
        <v>0</v>
      </c>
    </row>
    <row r="106" spans="1:245">
      <c r="A106">
        <v>18</v>
      </c>
      <c r="B106">
        <v>1</v>
      </c>
      <c r="E106" t="s">
        <v>216</v>
      </c>
      <c r="F106" t="s">
        <v>213</v>
      </c>
      <c r="G106" t="s">
        <v>217</v>
      </c>
      <c r="H106" t="s">
        <v>215</v>
      </c>
      <c r="I106">
        <f>I104*J106</f>
        <v>0</v>
      </c>
      <c r="J106">
        <v>0</v>
      </c>
      <c r="K106">
        <v>0</v>
      </c>
      <c r="O106">
        <f t="shared" si="81"/>
        <v>0</v>
      </c>
      <c r="P106">
        <f t="shared" si="108"/>
        <v>0</v>
      </c>
      <c r="Q106">
        <f t="shared" si="110"/>
        <v>0</v>
      </c>
      <c r="R106">
        <f t="shared" si="111"/>
        <v>0</v>
      </c>
      <c r="S106">
        <f t="shared" si="83"/>
        <v>0</v>
      </c>
      <c r="T106">
        <f t="shared" si="84"/>
        <v>0</v>
      </c>
      <c r="U106">
        <f t="shared" si="85"/>
        <v>0</v>
      </c>
      <c r="V106">
        <f t="shared" si="86"/>
        <v>0</v>
      </c>
      <c r="W106">
        <f t="shared" si="87"/>
        <v>0</v>
      </c>
      <c r="X106">
        <f t="shared" si="112"/>
        <v>0</v>
      </c>
      <c r="Y106">
        <f t="shared" si="113"/>
        <v>0</v>
      </c>
      <c r="AA106">
        <v>76282491</v>
      </c>
      <c r="AB106">
        <f t="shared" si="88"/>
        <v>0</v>
      </c>
      <c r="AC106">
        <f t="shared" si="114"/>
        <v>0</v>
      </c>
      <c r="AD106">
        <f t="shared" si="115"/>
        <v>0</v>
      </c>
      <c r="AE106">
        <f t="shared" si="116"/>
        <v>0</v>
      </c>
      <c r="AF106">
        <f t="shared" si="116"/>
        <v>0</v>
      </c>
      <c r="AG106">
        <f t="shared" si="89"/>
        <v>0</v>
      </c>
      <c r="AH106">
        <f t="shared" si="117"/>
        <v>0</v>
      </c>
      <c r="AI106">
        <f t="shared" si="117"/>
        <v>0</v>
      </c>
      <c r="AJ106">
        <f t="shared" si="90"/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97</v>
      </c>
      <c r="AU106">
        <v>51</v>
      </c>
      <c r="AV106">
        <v>1</v>
      </c>
      <c r="AW106">
        <v>1</v>
      </c>
      <c r="AZ106">
        <v>1</v>
      </c>
      <c r="BA106">
        <v>1</v>
      </c>
      <c r="BB106">
        <v>1</v>
      </c>
      <c r="BC106">
        <v>1</v>
      </c>
      <c r="BD106" t="s">
        <v>3</v>
      </c>
      <c r="BE106" t="s">
        <v>3</v>
      </c>
      <c r="BF106" t="s">
        <v>3</v>
      </c>
      <c r="BG106" t="s">
        <v>3</v>
      </c>
      <c r="BH106">
        <v>3</v>
      </c>
      <c r="BI106">
        <v>2</v>
      </c>
      <c r="BJ106" t="s">
        <v>3</v>
      </c>
      <c r="BM106">
        <v>67</v>
      </c>
      <c r="BN106">
        <v>0</v>
      </c>
      <c r="BO106" t="s">
        <v>3</v>
      </c>
      <c r="BP106">
        <v>0</v>
      </c>
      <c r="BQ106">
        <v>40</v>
      </c>
      <c r="BR106">
        <v>0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 t="s">
        <v>3</v>
      </c>
      <c r="BZ106">
        <v>97</v>
      </c>
      <c r="CA106">
        <v>51</v>
      </c>
      <c r="CB106" t="s">
        <v>3</v>
      </c>
      <c r="CE106">
        <v>1566</v>
      </c>
      <c r="CF106">
        <v>0</v>
      </c>
      <c r="CG106">
        <v>0</v>
      </c>
      <c r="CM106">
        <v>0</v>
      </c>
      <c r="CN106" t="s">
        <v>454</v>
      </c>
      <c r="CO106">
        <v>0</v>
      </c>
      <c r="CP106">
        <f t="shared" si="91"/>
        <v>0</v>
      </c>
      <c r="CQ106">
        <f t="shared" si="109"/>
        <v>0</v>
      </c>
      <c r="CR106">
        <f t="shared" si="118"/>
        <v>0</v>
      </c>
      <c r="CS106">
        <f t="shared" si="119"/>
        <v>0</v>
      </c>
      <c r="CT106">
        <f t="shared" si="93"/>
        <v>0</v>
      </c>
      <c r="CU106">
        <f t="shared" si="94"/>
        <v>0</v>
      </c>
      <c r="CV106">
        <f t="shared" si="95"/>
        <v>0</v>
      </c>
      <c r="CW106">
        <f t="shared" si="96"/>
        <v>0</v>
      </c>
      <c r="CX106">
        <f t="shared" si="97"/>
        <v>0</v>
      </c>
      <c r="CY106">
        <f t="shared" si="120"/>
        <v>0</v>
      </c>
      <c r="CZ106">
        <f t="shared" si="121"/>
        <v>0</v>
      </c>
      <c r="DC106" t="s">
        <v>3</v>
      </c>
      <c r="DD106" t="s">
        <v>3</v>
      </c>
      <c r="DE106" t="s">
        <v>3</v>
      </c>
      <c r="DF106" t="s">
        <v>3</v>
      </c>
      <c r="DG106" t="s">
        <v>3</v>
      </c>
      <c r="DH106" t="s">
        <v>3</v>
      </c>
      <c r="DI106" t="s">
        <v>3</v>
      </c>
      <c r="DJ106" t="s">
        <v>3</v>
      </c>
      <c r="DK106" t="s">
        <v>3</v>
      </c>
      <c r="DL106" t="s">
        <v>3</v>
      </c>
      <c r="DM106" t="s">
        <v>3</v>
      </c>
      <c r="DN106">
        <v>0</v>
      </c>
      <c r="DO106">
        <v>0</v>
      </c>
      <c r="DP106">
        <v>1</v>
      </c>
      <c r="DQ106">
        <v>1</v>
      </c>
      <c r="DU106">
        <v>1003</v>
      </c>
      <c r="DV106" t="s">
        <v>215</v>
      </c>
      <c r="DW106" t="s">
        <v>215</v>
      </c>
      <c r="DX106">
        <v>1</v>
      </c>
      <c r="DZ106" t="s">
        <v>3</v>
      </c>
      <c r="EA106" t="s">
        <v>3</v>
      </c>
      <c r="EB106" t="s">
        <v>3</v>
      </c>
      <c r="EC106" t="s">
        <v>3</v>
      </c>
      <c r="EE106">
        <v>76282301</v>
      </c>
      <c r="EF106">
        <v>40</v>
      </c>
      <c r="EG106" t="s">
        <v>20</v>
      </c>
      <c r="EH106">
        <v>0</v>
      </c>
      <c r="EI106" t="s">
        <v>3</v>
      </c>
      <c r="EJ106">
        <v>2</v>
      </c>
      <c r="EK106">
        <v>67</v>
      </c>
      <c r="EL106" t="s">
        <v>21</v>
      </c>
      <c r="EM106" t="s">
        <v>22</v>
      </c>
      <c r="EO106" t="s">
        <v>62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FQ106">
        <v>0</v>
      </c>
      <c r="FR106">
        <v>0</v>
      </c>
      <c r="FS106">
        <v>0</v>
      </c>
      <c r="FX106">
        <v>97</v>
      </c>
      <c r="FY106">
        <v>51</v>
      </c>
      <c r="GA106" t="s">
        <v>3</v>
      </c>
      <c r="GD106">
        <v>1</v>
      </c>
      <c r="GF106">
        <v>1499251426</v>
      </c>
      <c r="GG106">
        <v>2</v>
      </c>
      <c r="GH106">
        <v>0</v>
      </c>
      <c r="GI106">
        <v>-2</v>
      </c>
      <c r="GJ106">
        <v>0</v>
      </c>
      <c r="GK106">
        <v>0</v>
      </c>
      <c r="GL106">
        <f t="shared" si="98"/>
        <v>0</v>
      </c>
      <c r="GM106">
        <f t="shared" si="99"/>
        <v>0</v>
      </c>
      <c r="GN106">
        <f t="shared" si="100"/>
        <v>0</v>
      </c>
      <c r="GO106">
        <f t="shared" si="101"/>
        <v>0</v>
      </c>
      <c r="GP106">
        <f t="shared" si="102"/>
        <v>0</v>
      </c>
      <c r="GR106">
        <v>0</v>
      </c>
      <c r="GS106">
        <v>0</v>
      </c>
      <c r="GT106">
        <v>0</v>
      </c>
      <c r="GU106" t="s">
        <v>3</v>
      </c>
      <c r="GV106">
        <f t="shared" si="103"/>
        <v>0</v>
      </c>
      <c r="GW106">
        <v>1</v>
      </c>
      <c r="GX106">
        <f t="shared" si="104"/>
        <v>0</v>
      </c>
      <c r="HA106">
        <v>0</v>
      </c>
      <c r="HB106">
        <v>0</v>
      </c>
      <c r="HC106">
        <f t="shared" si="105"/>
        <v>0</v>
      </c>
      <c r="HE106" t="s">
        <v>3</v>
      </c>
      <c r="HF106" t="s">
        <v>3</v>
      </c>
      <c r="HM106" t="s">
        <v>60</v>
      </c>
      <c r="HN106" t="s">
        <v>3</v>
      </c>
      <c r="HO106" t="s">
        <v>3</v>
      </c>
      <c r="HP106" t="s">
        <v>3</v>
      </c>
      <c r="HQ106" t="s">
        <v>3</v>
      </c>
      <c r="HS106">
        <v>0</v>
      </c>
      <c r="IK106">
        <v>0</v>
      </c>
    </row>
    <row r="107" spans="1:245">
      <c r="A107">
        <v>18</v>
      </c>
      <c r="B107">
        <v>1</v>
      </c>
      <c r="E107" t="s">
        <v>218</v>
      </c>
      <c r="F107" t="s">
        <v>213</v>
      </c>
      <c r="G107" t="s">
        <v>219</v>
      </c>
      <c r="H107" t="s">
        <v>32</v>
      </c>
      <c r="I107">
        <f>I104*J107</f>
        <v>0</v>
      </c>
      <c r="J107">
        <v>0</v>
      </c>
      <c r="K107">
        <v>0</v>
      </c>
      <c r="O107">
        <f t="shared" si="81"/>
        <v>0</v>
      </c>
      <c r="P107">
        <f t="shared" si="108"/>
        <v>0</v>
      </c>
      <c r="Q107">
        <f t="shared" si="110"/>
        <v>0</v>
      </c>
      <c r="R107">
        <f t="shared" si="111"/>
        <v>0</v>
      </c>
      <c r="S107">
        <f t="shared" si="83"/>
        <v>0</v>
      </c>
      <c r="T107">
        <f t="shared" si="84"/>
        <v>0</v>
      </c>
      <c r="U107">
        <f t="shared" si="85"/>
        <v>0</v>
      </c>
      <c r="V107">
        <f t="shared" si="86"/>
        <v>0</v>
      </c>
      <c r="W107">
        <f t="shared" si="87"/>
        <v>0</v>
      </c>
      <c r="X107">
        <f t="shared" si="112"/>
        <v>0</v>
      </c>
      <c r="Y107">
        <f t="shared" si="113"/>
        <v>0</v>
      </c>
      <c r="AA107">
        <v>76282491</v>
      </c>
      <c r="AB107">
        <f t="shared" si="88"/>
        <v>0</v>
      </c>
      <c r="AC107">
        <f t="shared" si="114"/>
        <v>0</v>
      </c>
      <c r="AD107">
        <f t="shared" si="115"/>
        <v>0</v>
      </c>
      <c r="AE107">
        <f t="shared" si="116"/>
        <v>0</v>
      </c>
      <c r="AF107">
        <f t="shared" si="116"/>
        <v>0</v>
      </c>
      <c r="AG107">
        <f t="shared" si="89"/>
        <v>0</v>
      </c>
      <c r="AH107">
        <f t="shared" si="117"/>
        <v>0</v>
      </c>
      <c r="AI107">
        <f t="shared" si="117"/>
        <v>0</v>
      </c>
      <c r="AJ107">
        <f t="shared" si="90"/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97</v>
      </c>
      <c r="AU107">
        <v>51</v>
      </c>
      <c r="AV107">
        <v>1</v>
      </c>
      <c r="AW107">
        <v>1</v>
      </c>
      <c r="AZ107">
        <v>1</v>
      </c>
      <c r="BA107">
        <v>1</v>
      </c>
      <c r="BB107">
        <v>1</v>
      </c>
      <c r="BC107">
        <v>1</v>
      </c>
      <c r="BD107" t="s">
        <v>3</v>
      </c>
      <c r="BE107" t="s">
        <v>3</v>
      </c>
      <c r="BF107" t="s">
        <v>3</v>
      </c>
      <c r="BG107" t="s">
        <v>3</v>
      </c>
      <c r="BH107">
        <v>3</v>
      </c>
      <c r="BI107">
        <v>2</v>
      </c>
      <c r="BJ107" t="s">
        <v>3</v>
      </c>
      <c r="BM107">
        <v>67</v>
      </c>
      <c r="BN107">
        <v>0</v>
      </c>
      <c r="BO107" t="s">
        <v>3</v>
      </c>
      <c r="BP107">
        <v>0</v>
      </c>
      <c r="BQ107">
        <v>40</v>
      </c>
      <c r="BR107">
        <v>0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 t="s">
        <v>3</v>
      </c>
      <c r="BZ107">
        <v>97</v>
      </c>
      <c r="CA107">
        <v>51</v>
      </c>
      <c r="CB107" t="s">
        <v>3</v>
      </c>
      <c r="CE107">
        <v>1566</v>
      </c>
      <c r="CF107">
        <v>0</v>
      </c>
      <c r="CG107">
        <v>0</v>
      </c>
      <c r="CM107">
        <v>0</v>
      </c>
      <c r="CN107" t="s">
        <v>454</v>
      </c>
      <c r="CO107">
        <v>0</v>
      </c>
      <c r="CP107">
        <f t="shared" si="91"/>
        <v>0</v>
      </c>
      <c r="CQ107">
        <f t="shared" si="109"/>
        <v>0</v>
      </c>
      <c r="CR107">
        <f t="shared" si="118"/>
        <v>0</v>
      </c>
      <c r="CS107">
        <f t="shared" si="119"/>
        <v>0</v>
      </c>
      <c r="CT107">
        <f t="shared" si="93"/>
        <v>0</v>
      </c>
      <c r="CU107">
        <f t="shared" si="94"/>
        <v>0</v>
      </c>
      <c r="CV107">
        <f t="shared" si="95"/>
        <v>0</v>
      </c>
      <c r="CW107">
        <f t="shared" si="96"/>
        <v>0</v>
      </c>
      <c r="CX107">
        <f t="shared" si="97"/>
        <v>0</v>
      </c>
      <c r="CY107">
        <f t="shared" si="120"/>
        <v>0</v>
      </c>
      <c r="CZ107">
        <f t="shared" si="121"/>
        <v>0</v>
      </c>
      <c r="DC107" t="s">
        <v>3</v>
      </c>
      <c r="DD107" t="s">
        <v>3</v>
      </c>
      <c r="DE107" t="s">
        <v>3</v>
      </c>
      <c r="DF107" t="s">
        <v>3</v>
      </c>
      <c r="DG107" t="s">
        <v>3</v>
      </c>
      <c r="DH107" t="s">
        <v>3</v>
      </c>
      <c r="DI107" t="s">
        <v>3</v>
      </c>
      <c r="DJ107" t="s">
        <v>3</v>
      </c>
      <c r="DK107" t="s">
        <v>3</v>
      </c>
      <c r="DL107" t="s">
        <v>3</v>
      </c>
      <c r="DM107" t="s">
        <v>3</v>
      </c>
      <c r="DN107">
        <v>0</v>
      </c>
      <c r="DO107">
        <v>0</v>
      </c>
      <c r="DP107">
        <v>1</v>
      </c>
      <c r="DQ107">
        <v>1</v>
      </c>
      <c r="DU107">
        <v>1010</v>
      </c>
      <c r="DV107" t="s">
        <v>32</v>
      </c>
      <c r="DW107" t="s">
        <v>32</v>
      </c>
      <c r="DX107">
        <v>1</v>
      </c>
      <c r="DZ107" t="s">
        <v>3</v>
      </c>
      <c r="EA107" t="s">
        <v>3</v>
      </c>
      <c r="EB107" t="s">
        <v>3</v>
      </c>
      <c r="EC107" t="s">
        <v>3</v>
      </c>
      <c r="EE107">
        <v>76282301</v>
      </c>
      <c r="EF107">
        <v>40</v>
      </c>
      <c r="EG107" t="s">
        <v>20</v>
      </c>
      <c r="EH107">
        <v>0</v>
      </c>
      <c r="EI107" t="s">
        <v>3</v>
      </c>
      <c r="EJ107">
        <v>2</v>
      </c>
      <c r="EK107">
        <v>67</v>
      </c>
      <c r="EL107" t="s">
        <v>21</v>
      </c>
      <c r="EM107" t="s">
        <v>22</v>
      </c>
      <c r="EO107" t="s">
        <v>62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FQ107">
        <v>0</v>
      </c>
      <c r="FR107">
        <v>0</v>
      </c>
      <c r="FS107">
        <v>0</v>
      </c>
      <c r="FX107">
        <v>97</v>
      </c>
      <c r="FY107">
        <v>51</v>
      </c>
      <c r="GA107" t="s">
        <v>3</v>
      </c>
      <c r="GD107">
        <v>1</v>
      </c>
      <c r="GF107">
        <v>-1011579651</v>
      </c>
      <c r="GG107">
        <v>2</v>
      </c>
      <c r="GH107">
        <v>0</v>
      </c>
      <c r="GI107">
        <v>-2</v>
      </c>
      <c r="GJ107">
        <v>0</v>
      </c>
      <c r="GK107">
        <v>0</v>
      </c>
      <c r="GL107">
        <f t="shared" si="98"/>
        <v>0</v>
      </c>
      <c r="GM107">
        <f t="shared" si="99"/>
        <v>0</v>
      </c>
      <c r="GN107">
        <f t="shared" si="100"/>
        <v>0</v>
      </c>
      <c r="GO107">
        <f t="shared" si="101"/>
        <v>0</v>
      </c>
      <c r="GP107">
        <f t="shared" si="102"/>
        <v>0</v>
      </c>
      <c r="GR107">
        <v>0</v>
      </c>
      <c r="GS107">
        <v>0</v>
      </c>
      <c r="GT107">
        <v>0</v>
      </c>
      <c r="GU107" t="s">
        <v>3</v>
      </c>
      <c r="GV107">
        <f t="shared" si="103"/>
        <v>0</v>
      </c>
      <c r="GW107">
        <v>1</v>
      </c>
      <c r="GX107">
        <f t="shared" si="104"/>
        <v>0</v>
      </c>
      <c r="HA107">
        <v>0</v>
      </c>
      <c r="HB107">
        <v>0</v>
      </c>
      <c r="HC107">
        <f t="shared" si="105"/>
        <v>0</v>
      </c>
      <c r="HE107" t="s">
        <v>3</v>
      </c>
      <c r="HF107" t="s">
        <v>3</v>
      </c>
      <c r="HM107" t="s">
        <v>60</v>
      </c>
      <c r="HN107" t="s">
        <v>3</v>
      </c>
      <c r="HO107" t="s">
        <v>3</v>
      </c>
      <c r="HP107" t="s">
        <v>3</v>
      </c>
      <c r="HQ107" t="s">
        <v>3</v>
      </c>
      <c r="HS107">
        <v>0</v>
      </c>
      <c r="IK107">
        <v>0</v>
      </c>
    </row>
    <row r="108" spans="1:245">
      <c r="A108">
        <v>18</v>
      </c>
      <c r="B108">
        <v>1</v>
      </c>
      <c r="E108" t="s">
        <v>220</v>
      </c>
      <c r="F108" t="s">
        <v>213</v>
      </c>
      <c r="G108" t="s">
        <v>221</v>
      </c>
      <c r="H108" t="s">
        <v>32</v>
      </c>
      <c r="I108">
        <f>I104*J108</f>
        <v>0</v>
      </c>
      <c r="J108">
        <v>0</v>
      </c>
      <c r="K108">
        <v>0</v>
      </c>
      <c r="O108">
        <f t="shared" si="81"/>
        <v>0</v>
      </c>
      <c r="P108">
        <f t="shared" si="108"/>
        <v>0</v>
      </c>
      <c r="Q108">
        <f t="shared" si="110"/>
        <v>0</v>
      </c>
      <c r="R108">
        <f t="shared" si="111"/>
        <v>0</v>
      </c>
      <c r="S108">
        <f t="shared" si="83"/>
        <v>0</v>
      </c>
      <c r="T108">
        <f t="shared" si="84"/>
        <v>0</v>
      </c>
      <c r="U108">
        <f t="shared" si="85"/>
        <v>0</v>
      </c>
      <c r="V108">
        <f t="shared" si="86"/>
        <v>0</v>
      </c>
      <c r="W108">
        <f t="shared" si="87"/>
        <v>0</v>
      </c>
      <c r="X108">
        <f t="shared" si="112"/>
        <v>0</v>
      </c>
      <c r="Y108">
        <f t="shared" si="113"/>
        <v>0</v>
      </c>
      <c r="AA108">
        <v>76282491</v>
      </c>
      <c r="AB108">
        <f t="shared" si="88"/>
        <v>0</v>
      </c>
      <c r="AC108">
        <f t="shared" si="114"/>
        <v>0</v>
      </c>
      <c r="AD108">
        <f t="shared" si="115"/>
        <v>0</v>
      </c>
      <c r="AE108">
        <f t="shared" si="116"/>
        <v>0</v>
      </c>
      <c r="AF108">
        <f t="shared" si="116"/>
        <v>0</v>
      </c>
      <c r="AG108">
        <f t="shared" si="89"/>
        <v>0</v>
      </c>
      <c r="AH108">
        <f t="shared" si="117"/>
        <v>0</v>
      </c>
      <c r="AI108">
        <f t="shared" si="117"/>
        <v>0</v>
      </c>
      <c r="AJ108">
        <f t="shared" si="90"/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97</v>
      </c>
      <c r="AU108">
        <v>51</v>
      </c>
      <c r="AV108">
        <v>1</v>
      </c>
      <c r="AW108">
        <v>1</v>
      </c>
      <c r="AZ108">
        <v>1</v>
      </c>
      <c r="BA108">
        <v>1</v>
      </c>
      <c r="BB108">
        <v>1</v>
      </c>
      <c r="BC108">
        <v>1</v>
      </c>
      <c r="BD108" t="s">
        <v>3</v>
      </c>
      <c r="BE108" t="s">
        <v>3</v>
      </c>
      <c r="BF108" t="s">
        <v>3</v>
      </c>
      <c r="BG108" t="s">
        <v>3</v>
      </c>
      <c r="BH108">
        <v>3</v>
      </c>
      <c r="BI108">
        <v>2</v>
      </c>
      <c r="BJ108" t="s">
        <v>3</v>
      </c>
      <c r="BM108">
        <v>67</v>
      </c>
      <c r="BN108">
        <v>0</v>
      </c>
      <c r="BO108" t="s">
        <v>3</v>
      </c>
      <c r="BP108">
        <v>0</v>
      </c>
      <c r="BQ108">
        <v>40</v>
      </c>
      <c r="BR108">
        <v>0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 t="s">
        <v>3</v>
      </c>
      <c r="BZ108">
        <v>97</v>
      </c>
      <c r="CA108">
        <v>51</v>
      </c>
      <c r="CB108" t="s">
        <v>3</v>
      </c>
      <c r="CE108">
        <v>1566</v>
      </c>
      <c r="CF108">
        <v>0</v>
      </c>
      <c r="CG108">
        <v>0</v>
      </c>
      <c r="CM108">
        <v>0</v>
      </c>
      <c r="CN108" t="s">
        <v>454</v>
      </c>
      <c r="CO108">
        <v>0</v>
      </c>
      <c r="CP108">
        <f t="shared" si="91"/>
        <v>0</v>
      </c>
      <c r="CQ108">
        <f t="shared" si="109"/>
        <v>0</v>
      </c>
      <c r="CR108">
        <f t="shared" si="118"/>
        <v>0</v>
      </c>
      <c r="CS108">
        <f t="shared" si="119"/>
        <v>0</v>
      </c>
      <c r="CT108">
        <f t="shared" si="93"/>
        <v>0</v>
      </c>
      <c r="CU108">
        <f t="shared" si="94"/>
        <v>0</v>
      </c>
      <c r="CV108">
        <f t="shared" si="95"/>
        <v>0</v>
      </c>
      <c r="CW108">
        <f t="shared" si="96"/>
        <v>0</v>
      </c>
      <c r="CX108">
        <f t="shared" si="97"/>
        <v>0</v>
      </c>
      <c r="CY108">
        <f t="shared" si="120"/>
        <v>0</v>
      </c>
      <c r="CZ108">
        <f t="shared" si="121"/>
        <v>0</v>
      </c>
      <c r="DC108" t="s">
        <v>3</v>
      </c>
      <c r="DD108" t="s">
        <v>3</v>
      </c>
      <c r="DE108" t="s">
        <v>3</v>
      </c>
      <c r="DF108" t="s">
        <v>3</v>
      </c>
      <c r="DG108" t="s">
        <v>3</v>
      </c>
      <c r="DH108" t="s">
        <v>3</v>
      </c>
      <c r="DI108" t="s">
        <v>3</v>
      </c>
      <c r="DJ108" t="s">
        <v>3</v>
      </c>
      <c r="DK108" t="s">
        <v>3</v>
      </c>
      <c r="DL108" t="s">
        <v>3</v>
      </c>
      <c r="DM108" t="s">
        <v>3</v>
      </c>
      <c r="DN108">
        <v>0</v>
      </c>
      <c r="DO108">
        <v>0</v>
      </c>
      <c r="DP108">
        <v>1</v>
      </c>
      <c r="DQ108">
        <v>1</v>
      </c>
      <c r="DU108">
        <v>1010</v>
      </c>
      <c r="DV108" t="s">
        <v>32</v>
      </c>
      <c r="DW108" t="s">
        <v>32</v>
      </c>
      <c r="DX108">
        <v>1</v>
      </c>
      <c r="DZ108" t="s">
        <v>3</v>
      </c>
      <c r="EA108" t="s">
        <v>3</v>
      </c>
      <c r="EB108" t="s">
        <v>3</v>
      </c>
      <c r="EC108" t="s">
        <v>3</v>
      </c>
      <c r="EE108">
        <v>76282301</v>
      </c>
      <c r="EF108">
        <v>40</v>
      </c>
      <c r="EG108" t="s">
        <v>20</v>
      </c>
      <c r="EH108">
        <v>0</v>
      </c>
      <c r="EI108" t="s">
        <v>3</v>
      </c>
      <c r="EJ108">
        <v>2</v>
      </c>
      <c r="EK108">
        <v>67</v>
      </c>
      <c r="EL108" t="s">
        <v>21</v>
      </c>
      <c r="EM108" t="s">
        <v>22</v>
      </c>
      <c r="EO108" t="s">
        <v>62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FQ108">
        <v>0</v>
      </c>
      <c r="FR108">
        <v>0</v>
      </c>
      <c r="FS108">
        <v>0</v>
      </c>
      <c r="FX108">
        <v>97</v>
      </c>
      <c r="FY108">
        <v>51</v>
      </c>
      <c r="GA108" t="s">
        <v>3</v>
      </c>
      <c r="GD108">
        <v>1</v>
      </c>
      <c r="GF108">
        <v>843126365</v>
      </c>
      <c r="GG108">
        <v>2</v>
      </c>
      <c r="GH108">
        <v>0</v>
      </c>
      <c r="GI108">
        <v>-2</v>
      </c>
      <c r="GJ108">
        <v>0</v>
      </c>
      <c r="GK108">
        <v>0</v>
      </c>
      <c r="GL108">
        <f t="shared" si="98"/>
        <v>0</v>
      </c>
      <c r="GM108">
        <f t="shared" si="99"/>
        <v>0</v>
      </c>
      <c r="GN108">
        <f t="shared" si="100"/>
        <v>0</v>
      </c>
      <c r="GO108">
        <f t="shared" si="101"/>
        <v>0</v>
      </c>
      <c r="GP108">
        <f t="shared" si="102"/>
        <v>0</v>
      </c>
      <c r="GR108">
        <v>0</v>
      </c>
      <c r="GS108">
        <v>0</v>
      </c>
      <c r="GT108">
        <v>0</v>
      </c>
      <c r="GU108" t="s">
        <v>3</v>
      </c>
      <c r="GV108">
        <f t="shared" si="103"/>
        <v>0</v>
      </c>
      <c r="GW108">
        <v>1</v>
      </c>
      <c r="GX108">
        <f t="shared" si="104"/>
        <v>0</v>
      </c>
      <c r="HA108">
        <v>0</v>
      </c>
      <c r="HB108">
        <v>0</v>
      </c>
      <c r="HC108">
        <f t="shared" si="105"/>
        <v>0</v>
      </c>
      <c r="HE108" t="s">
        <v>3</v>
      </c>
      <c r="HF108" t="s">
        <v>3</v>
      </c>
      <c r="HM108" t="s">
        <v>60</v>
      </c>
      <c r="HN108" t="s">
        <v>3</v>
      </c>
      <c r="HO108" t="s">
        <v>3</v>
      </c>
      <c r="HP108" t="s">
        <v>3</v>
      </c>
      <c r="HQ108" t="s">
        <v>3</v>
      </c>
      <c r="HS108">
        <v>0</v>
      </c>
      <c r="IK108">
        <v>0</v>
      </c>
    </row>
    <row r="109" spans="1:245">
      <c r="A109">
        <v>18</v>
      </c>
      <c r="B109">
        <v>1</v>
      </c>
      <c r="E109" t="s">
        <v>222</v>
      </c>
      <c r="F109" t="s">
        <v>213</v>
      </c>
      <c r="G109" t="s">
        <v>223</v>
      </c>
      <c r="H109" t="s">
        <v>32</v>
      </c>
      <c r="I109">
        <f>I104*J109</f>
        <v>0</v>
      </c>
      <c r="J109">
        <v>0</v>
      </c>
      <c r="K109">
        <v>0</v>
      </c>
      <c r="O109">
        <f t="shared" si="81"/>
        <v>0</v>
      </c>
      <c r="P109">
        <f t="shared" si="108"/>
        <v>0</v>
      </c>
      <c r="Q109">
        <f t="shared" si="110"/>
        <v>0</v>
      </c>
      <c r="R109">
        <f t="shared" si="111"/>
        <v>0</v>
      </c>
      <c r="S109">
        <f t="shared" si="83"/>
        <v>0</v>
      </c>
      <c r="T109">
        <f t="shared" si="84"/>
        <v>0</v>
      </c>
      <c r="U109">
        <f t="shared" si="85"/>
        <v>0</v>
      </c>
      <c r="V109">
        <f t="shared" si="86"/>
        <v>0</v>
      </c>
      <c r="W109">
        <f t="shared" si="87"/>
        <v>0</v>
      </c>
      <c r="X109">
        <f t="shared" si="112"/>
        <v>0</v>
      </c>
      <c r="Y109">
        <f t="shared" si="113"/>
        <v>0</v>
      </c>
      <c r="AA109">
        <v>76282491</v>
      </c>
      <c r="AB109">
        <f t="shared" si="88"/>
        <v>0</v>
      </c>
      <c r="AC109">
        <f t="shared" si="114"/>
        <v>0</v>
      </c>
      <c r="AD109">
        <f t="shared" si="115"/>
        <v>0</v>
      </c>
      <c r="AE109">
        <f t="shared" si="116"/>
        <v>0</v>
      </c>
      <c r="AF109">
        <f t="shared" si="116"/>
        <v>0</v>
      </c>
      <c r="AG109">
        <f t="shared" si="89"/>
        <v>0</v>
      </c>
      <c r="AH109">
        <f t="shared" si="117"/>
        <v>0</v>
      </c>
      <c r="AI109">
        <f t="shared" si="117"/>
        <v>0</v>
      </c>
      <c r="AJ109">
        <f t="shared" si="90"/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97</v>
      </c>
      <c r="AU109">
        <v>51</v>
      </c>
      <c r="AV109">
        <v>1</v>
      </c>
      <c r="AW109">
        <v>1</v>
      </c>
      <c r="AZ109">
        <v>1</v>
      </c>
      <c r="BA109">
        <v>1</v>
      </c>
      <c r="BB109">
        <v>1</v>
      </c>
      <c r="BC109">
        <v>1</v>
      </c>
      <c r="BD109" t="s">
        <v>3</v>
      </c>
      <c r="BE109" t="s">
        <v>3</v>
      </c>
      <c r="BF109" t="s">
        <v>3</v>
      </c>
      <c r="BG109" t="s">
        <v>3</v>
      </c>
      <c r="BH109">
        <v>3</v>
      </c>
      <c r="BI109">
        <v>2</v>
      </c>
      <c r="BJ109" t="s">
        <v>3</v>
      </c>
      <c r="BM109">
        <v>67</v>
      </c>
      <c r="BN109">
        <v>0</v>
      </c>
      <c r="BO109" t="s">
        <v>3</v>
      </c>
      <c r="BP109">
        <v>0</v>
      </c>
      <c r="BQ109">
        <v>40</v>
      </c>
      <c r="BR109">
        <v>0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 t="s">
        <v>3</v>
      </c>
      <c r="BZ109">
        <v>97</v>
      </c>
      <c r="CA109">
        <v>51</v>
      </c>
      <c r="CB109" t="s">
        <v>3</v>
      </c>
      <c r="CE109">
        <v>1566</v>
      </c>
      <c r="CF109">
        <v>0</v>
      </c>
      <c r="CG109">
        <v>0</v>
      </c>
      <c r="CM109">
        <v>0</v>
      </c>
      <c r="CN109" t="s">
        <v>454</v>
      </c>
      <c r="CO109">
        <v>0</v>
      </c>
      <c r="CP109">
        <f t="shared" si="91"/>
        <v>0</v>
      </c>
      <c r="CQ109">
        <f t="shared" si="109"/>
        <v>0</v>
      </c>
      <c r="CR109">
        <f t="shared" si="118"/>
        <v>0</v>
      </c>
      <c r="CS109">
        <f t="shared" si="119"/>
        <v>0</v>
      </c>
      <c r="CT109">
        <f t="shared" si="93"/>
        <v>0</v>
      </c>
      <c r="CU109">
        <f t="shared" si="94"/>
        <v>0</v>
      </c>
      <c r="CV109">
        <f t="shared" si="95"/>
        <v>0</v>
      </c>
      <c r="CW109">
        <f t="shared" si="96"/>
        <v>0</v>
      </c>
      <c r="CX109">
        <f t="shared" si="97"/>
        <v>0</v>
      </c>
      <c r="CY109">
        <f t="shared" si="120"/>
        <v>0</v>
      </c>
      <c r="CZ109">
        <f t="shared" si="121"/>
        <v>0</v>
      </c>
      <c r="DC109" t="s">
        <v>3</v>
      </c>
      <c r="DD109" t="s">
        <v>3</v>
      </c>
      <c r="DE109" t="s">
        <v>3</v>
      </c>
      <c r="DF109" t="s">
        <v>3</v>
      </c>
      <c r="DG109" t="s">
        <v>3</v>
      </c>
      <c r="DH109" t="s">
        <v>3</v>
      </c>
      <c r="DI109" t="s">
        <v>3</v>
      </c>
      <c r="DJ109" t="s">
        <v>3</v>
      </c>
      <c r="DK109" t="s">
        <v>3</v>
      </c>
      <c r="DL109" t="s">
        <v>3</v>
      </c>
      <c r="DM109" t="s">
        <v>3</v>
      </c>
      <c r="DN109">
        <v>0</v>
      </c>
      <c r="DO109">
        <v>0</v>
      </c>
      <c r="DP109">
        <v>1</v>
      </c>
      <c r="DQ109">
        <v>1</v>
      </c>
      <c r="DU109">
        <v>1010</v>
      </c>
      <c r="DV109" t="s">
        <v>32</v>
      </c>
      <c r="DW109" t="s">
        <v>32</v>
      </c>
      <c r="DX109">
        <v>1</v>
      </c>
      <c r="DZ109" t="s">
        <v>3</v>
      </c>
      <c r="EA109" t="s">
        <v>3</v>
      </c>
      <c r="EB109" t="s">
        <v>3</v>
      </c>
      <c r="EC109" t="s">
        <v>3</v>
      </c>
      <c r="EE109">
        <v>76282301</v>
      </c>
      <c r="EF109">
        <v>40</v>
      </c>
      <c r="EG109" t="s">
        <v>20</v>
      </c>
      <c r="EH109">
        <v>0</v>
      </c>
      <c r="EI109" t="s">
        <v>3</v>
      </c>
      <c r="EJ109">
        <v>2</v>
      </c>
      <c r="EK109">
        <v>67</v>
      </c>
      <c r="EL109" t="s">
        <v>21</v>
      </c>
      <c r="EM109" t="s">
        <v>22</v>
      </c>
      <c r="EO109" t="s">
        <v>62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FQ109">
        <v>0</v>
      </c>
      <c r="FR109">
        <v>0</v>
      </c>
      <c r="FS109">
        <v>0</v>
      </c>
      <c r="FX109">
        <v>97</v>
      </c>
      <c r="FY109">
        <v>51</v>
      </c>
      <c r="GA109" t="s">
        <v>3</v>
      </c>
      <c r="GD109">
        <v>1</v>
      </c>
      <c r="GF109">
        <v>-684479992</v>
      </c>
      <c r="GG109">
        <v>2</v>
      </c>
      <c r="GH109">
        <v>0</v>
      </c>
      <c r="GI109">
        <v>-2</v>
      </c>
      <c r="GJ109">
        <v>0</v>
      </c>
      <c r="GK109">
        <v>0</v>
      </c>
      <c r="GL109">
        <f t="shared" si="98"/>
        <v>0</v>
      </c>
      <c r="GM109">
        <f t="shared" si="99"/>
        <v>0</v>
      </c>
      <c r="GN109">
        <f t="shared" si="100"/>
        <v>0</v>
      </c>
      <c r="GO109">
        <f t="shared" si="101"/>
        <v>0</v>
      </c>
      <c r="GP109">
        <f t="shared" si="102"/>
        <v>0</v>
      </c>
      <c r="GR109">
        <v>0</v>
      </c>
      <c r="GS109">
        <v>0</v>
      </c>
      <c r="GT109">
        <v>0</v>
      </c>
      <c r="GU109" t="s">
        <v>3</v>
      </c>
      <c r="GV109">
        <f t="shared" si="103"/>
        <v>0</v>
      </c>
      <c r="GW109">
        <v>1</v>
      </c>
      <c r="GX109">
        <f t="shared" si="104"/>
        <v>0</v>
      </c>
      <c r="HA109">
        <v>0</v>
      </c>
      <c r="HB109">
        <v>0</v>
      </c>
      <c r="HC109">
        <f t="shared" si="105"/>
        <v>0</v>
      </c>
      <c r="HE109" t="s">
        <v>3</v>
      </c>
      <c r="HF109" t="s">
        <v>3</v>
      </c>
      <c r="HM109" t="s">
        <v>60</v>
      </c>
      <c r="HN109" t="s">
        <v>3</v>
      </c>
      <c r="HO109" t="s">
        <v>3</v>
      </c>
      <c r="HP109" t="s">
        <v>3</v>
      </c>
      <c r="HQ109" t="s">
        <v>3</v>
      </c>
      <c r="HS109">
        <v>0</v>
      </c>
      <c r="IK109">
        <v>0</v>
      </c>
    </row>
    <row r="110" spans="1:245">
      <c r="A110">
        <v>18</v>
      </c>
      <c r="B110">
        <v>1</v>
      </c>
      <c r="E110" t="s">
        <v>224</v>
      </c>
      <c r="F110" t="s">
        <v>213</v>
      </c>
      <c r="G110" t="s">
        <v>225</v>
      </c>
      <c r="H110" t="s">
        <v>32</v>
      </c>
      <c r="I110">
        <f>I104*J110</f>
        <v>0</v>
      </c>
      <c r="J110">
        <v>0</v>
      </c>
      <c r="K110">
        <v>0</v>
      </c>
      <c r="O110">
        <f t="shared" si="81"/>
        <v>0</v>
      </c>
      <c r="P110">
        <f t="shared" si="108"/>
        <v>0</v>
      </c>
      <c r="Q110">
        <f t="shared" si="110"/>
        <v>0</v>
      </c>
      <c r="R110">
        <f t="shared" si="111"/>
        <v>0</v>
      </c>
      <c r="S110">
        <f t="shared" si="83"/>
        <v>0</v>
      </c>
      <c r="T110">
        <f t="shared" si="84"/>
        <v>0</v>
      </c>
      <c r="U110">
        <f t="shared" si="85"/>
        <v>0</v>
      </c>
      <c r="V110">
        <f t="shared" si="86"/>
        <v>0</v>
      </c>
      <c r="W110">
        <f t="shared" si="87"/>
        <v>0</v>
      </c>
      <c r="X110">
        <f t="shared" si="112"/>
        <v>0</v>
      </c>
      <c r="Y110">
        <f t="shared" si="113"/>
        <v>0</v>
      </c>
      <c r="AA110">
        <v>76282491</v>
      </c>
      <c r="AB110">
        <f t="shared" si="88"/>
        <v>0</v>
      </c>
      <c r="AC110">
        <f t="shared" si="114"/>
        <v>0</v>
      </c>
      <c r="AD110">
        <f t="shared" si="115"/>
        <v>0</v>
      </c>
      <c r="AE110">
        <f t="shared" si="116"/>
        <v>0</v>
      </c>
      <c r="AF110">
        <f t="shared" si="116"/>
        <v>0</v>
      </c>
      <c r="AG110">
        <f t="shared" si="89"/>
        <v>0</v>
      </c>
      <c r="AH110">
        <f t="shared" si="117"/>
        <v>0</v>
      </c>
      <c r="AI110">
        <f t="shared" si="117"/>
        <v>0</v>
      </c>
      <c r="AJ110">
        <f t="shared" si="90"/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97</v>
      </c>
      <c r="AU110">
        <v>51</v>
      </c>
      <c r="AV110">
        <v>1</v>
      </c>
      <c r="AW110">
        <v>1</v>
      </c>
      <c r="AZ110">
        <v>1</v>
      </c>
      <c r="BA110">
        <v>1</v>
      </c>
      <c r="BB110">
        <v>1</v>
      </c>
      <c r="BC110">
        <v>1</v>
      </c>
      <c r="BD110" t="s">
        <v>3</v>
      </c>
      <c r="BE110" t="s">
        <v>3</v>
      </c>
      <c r="BF110" t="s">
        <v>3</v>
      </c>
      <c r="BG110" t="s">
        <v>3</v>
      </c>
      <c r="BH110">
        <v>3</v>
      </c>
      <c r="BI110">
        <v>2</v>
      </c>
      <c r="BJ110" t="s">
        <v>3</v>
      </c>
      <c r="BM110">
        <v>67</v>
      </c>
      <c r="BN110">
        <v>0</v>
      </c>
      <c r="BO110" t="s">
        <v>3</v>
      </c>
      <c r="BP110">
        <v>0</v>
      </c>
      <c r="BQ110">
        <v>40</v>
      </c>
      <c r="BR110">
        <v>0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 t="s">
        <v>3</v>
      </c>
      <c r="BZ110">
        <v>97</v>
      </c>
      <c r="CA110">
        <v>51</v>
      </c>
      <c r="CB110" t="s">
        <v>3</v>
      </c>
      <c r="CE110">
        <v>1566</v>
      </c>
      <c r="CF110">
        <v>0</v>
      </c>
      <c r="CG110">
        <v>0</v>
      </c>
      <c r="CM110">
        <v>0</v>
      </c>
      <c r="CN110" t="s">
        <v>454</v>
      </c>
      <c r="CO110">
        <v>0</v>
      </c>
      <c r="CP110">
        <f t="shared" si="91"/>
        <v>0</v>
      </c>
      <c r="CQ110">
        <f t="shared" si="109"/>
        <v>0</v>
      </c>
      <c r="CR110">
        <f t="shared" si="118"/>
        <v>0</v>
      </c>
      <c r="CS110">
        <f t="shared" si="119"/>
        <v>0</v>
      </c>
      <c r="CT110">
        <f t="shared" si="93"/>
        <v>0</v>
      </c>
      <c r="CU110">
        <f t="shared" si="94"/>
        <v>0</v>
      </c>
      <c r="CV110">
        <f t="shared" si="95"/>
        <v>0</v>
      </c>
      <c r="CW110">
        <f t="shared" si="96"/>
        <v>0</v>
      </c>
      <c r="CX110">
        <f t="shared" si="97"/>
        <v>0</v>
      </c>
      <c r="CY110">
        <f t="shared" si="120"/>
        <v>0</v>
      </c>
      <c r="CZ110">
        <f t="shared" si="121"/>
        <v>0</v>
      </c>
      <c r="DC110" t="s">
        <v>3</v>
      </c>
      <c r="DD110" t="s">
        <v>3</v>
      </c>
      <c r="DE110" t="s">
        <v>3</v>
      </c>
      <c r="DF110" t="s">
        <v>3</v>
      </c>
      <c r="DG110" t="s">
        <v>3</v>
      </c>
      <c r="DH110" t="s">
        <v>3</v>
      </c>
      <c r="DI110" t="s">
        <v>3</v>
      </c>
      <c r="DJ110" t="s">
        <v>3</v>
      </c>
      <c r="DK110" t="s">
        <v>3</v>
      </c>
      <c r="DL110" t="s">
        <v>3</v>
      </c>
      <c r="DM110" t="s">
        <v>3</v>
      </c>
      <c r="DN110">
        <v>0</v>
      </c>
      <c r="DO110">
        <v>0</v>
      </c>
      <c r="DP110">
        <v>1</v>
      </c>
      <c r="DQ110">
        <v>1</v>
      </c>
      <c r="DU110">
        <v>1010</v>
      </c>
      <c r="DV110" t="s">
        <v>32</v>
      </c>
      <c r="DW110" t="s">
        <v>32</v>
      </c>
      <c r="DX110">
        <v>1</v>
      </c>
      <c r="DZ110" t="s">
        <v>3</v>
      </c>
      <c r="EA110" t="s">
        <v>3</v>
      </c>
      <c r="EB110" t="s">
        <v>3</v>
      </c>
      <c r="EC110" t="s">
        <v>3</v>
      </c>
      <c r="EE110">
        <v>76282301</v>
      </c>
      <c r="EF110">
        <v>40</v>
      </c>
      <c r="EG110" t="s">
        <v>20</v>
      </c>
      <c r="EH110">
        <v>0</v>
      </c>
      <c r="EI110" t="s">
        <v>3</v>
      </c>
      <c r="EJ110">
        <v>2</v>
      </c>
      <c r="EK110">
        <v>67</v>
      </c>
      <c r="EL110" t="s">
        <v>21</v>
      </c>
      <c r="EM110" t="s">
        <v>22</v>
      </c>
      <c r="EO110" t="s">
        <v>62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FQ110">
        <v>0</v>
      </c>
      <c r="FR110">
        <v>0</v>
      </c>
      <c r="FS110">
        <v>0</v>
      </c>
      <c r="FX110">
        <v>97</v>
      </c>
      <c r="FY110">
        <v>51</v>
      </c>
      <c r="GA110" t="s">
        <v>3</v>
      </c>
      <c r="GD110">
        <v>1</v>
      </c>
      <c r="GF110">
        <v>-1687310285</v>
      </c>
      <c r="GG110">
        <v>2</v>
      </c>
      <c r="GH110">
        <v>0</v>
      </c>
      <c r="GI110">
        <v>-2</v>
      </c>
      <c r="GJ110">
        <v>0</v>
      </c>
      <c r="GK110">
        <v>0</v>
      </c>
      <c r="GL110">
        <f t="shared" si="98"/>
        <v>0</v>
      </c>
      <c r="GM110">
        <f t="shared" si="99"/>
        <v>0</v>
      </c>
      <c r="GN110">
        <f t="shared" si="100"/>
        <v>0</v>
      </c>
      <c r="GO110">
        <f t="shared" si="101"/>
        <v>0</v>
      </c>
      <c r="GP110">
        <f t="shared" si="102"/>
        <v>0</v>
      </c>
      <c r="GR110">
        <v>0</v>
      </c>
      <c r="GS110">
        <v>0</v>
      </c>
      <c r="GT110">
        <v>0</v>
      </c>
      <c r="GU110" t="s">
        <v>3</v>
      </c>
      <c r="GV110">
        <f t="shared" si="103"/>
        <v>0</v>
      </c>
      <c r="GW110">
        <v>1</v>
      </c>
      <c r="GX110">
        <f t="shared" si="104"/>
        <v>0</v>
      </c>
      <c r="HA110">
        <v>0</v>
      </c>
      <c r="HB110">
        <v>0</v>
      </c>
      <c r="HC110">
        <f t="shared" si="105"/>
        <v>0</v>
      </c>
      <c r="HE110" t="s">
        <v>3</v>
      </c>
      <c r="HF110" t="s">
        <v>3</v>
      </c>
      <c r="HM110" t="s">
        <v>60</v>
      </c>
      <c r="HN110" t="s">
        <v>3</v>
      </c>
      <c r="HO110" t="s">
        <v>3</v>
      </c>
      <c r="HP110" t="s">
        <v>3</v>
      </c>
      <c r="HQ110" t="s">
        <v>3</v>
      </c>
      <c r="HS110">
        <v>0</v>
      </c>
      <c r="IK110">
        <v>0</v>
      </c>
    </row>
    <row r="111" spans="1:245">
      <c r="A111">
        <v>18</v>
      </c>
      <c r="B111">
        <v>1</v>
      </c>
      <c r="E111" t="s">
        <v>226</v>
      </c>
      <c r="F111" t="s">
        <v>213</v>
      </c>
      <c r="G111" t="s">
        <v>227</v>
      </c>
      <c r="H111" t="s">
        <v>32</v>
      </c>
      <c r="I111">
        <f>I104*J111</f>
        <v>0</v>
      </c>
      <c r="J111">
        <v>0</v>
      </c>
      <c r="K111">
        <v>0</v>
      </c>
      <c r="O111">
        <f t="shared" si="81"/>
        <v>0</v>
      </c>
      <c r="P111">
        <f t="shared" si="108"/>
        <v>0</v>
      </c>
      <c r="Q111">
        <f t="shared" si="110"/>
        <v>0</v>
      </c>
      <c r="R111">
        <f t="shared" si="111"/>
        <v>0</v>
      </c>
      <c r="S111">
        <f t="shared" si="83"/>
        <v>0</v>
      </c>
      <c r="T111">
        <f t="shared" si="84"/>
        <v>0</v>
      </c>
      <c r="U111">
        <f t="shared" si="85"/>
        <v>0</v>
      </c>
      <c r="V111">
        <f t="shared" si="86"/>
        <v>0</v>
      </c>
      <c r="W111">
        <f t="shared" si="87"/>
        <v>0</v>
      </c>
      <c r="X111">
        <f t="shared" si="112"/>
        <v>0</v>
      </c>
      <c r="Y111">
        <f t="shared" si="113"/>
        <v>0</v>
      </c>
      <c r="AA111">
        <v>76282491</v>
      </c>
      <c r="AB111">
        <f t="shared" si="88"/>
        <v>0</v>
      </c>
      <c r="AC111">
        <f t="shared" si="114"/>
        <v>0</v>
      </c>
      <c r="AD111">
        <f t="shared" si="115"/>
        <v>0</v>
      </c>
      <c r="AE111">
        <f t="shared" si="116"/>
        <v>0</v>
      </c>
      <c r="AF111">
        <f t="shared" si="116"/>
        <v>0</v>
      </c>
      <c r="AG111">
        <f t="shared" si="89"/>
        <v>0</v>
      </c>
      <c r="AH111">
        <f t="shared" si="117"/>
        <v>0</v>
      </c>
      <c r="AI111">
        <f t="shared" si="117"/>
        <v>0</v>
      </c>
      <c r="AJ111">
        <f t="shared" si="90"/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97</v>
      </c>
      <c r="AU111">
        <v>51</v>
      </c>
      <c r="AV111">
        <v>1</v>
      </c>
      <c r="AW111">
        <v>1</v>
      </c>
      <c r="AZ111">
        <v>1</v>
      </c>
      <c r="BA111">
        <v>1</v>
      </c>
      <c r="BB111">
        <v>1</v>
      </c>
      <c r="BC111">
        <v>1</v>
      </c>
      <c r="BD111" t="s">
        <v>3</v>
      </c>
      <c r="BE111" t="s">
        <v>3</v>
      </c>
      <c r="BF111" t="s">
        <v>3</v>
      </c>
      <c r="BG111" t="s">
        <v>3</v>
      </c>
      <c r="BH111">
        <v>3</v>
      </c>
      <c r="BI111">
        <v>2</v>
      </c>
      <c r="BJ111" t="s">
        <v>3</v>
      </c>
      <c r="BM111">
        <v>67</v>
      </c>
      <c r="BN111">
        <v>0</v>
      </c>
      <c r="BO111" t="s">
        <v>3</v>
      </c>
      <c r="BP111">
        <v>0</v>
      </c>
      <c r="BQ111">
        <v>40</v>
      </c>
      <c r="BR111">
        <v>0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 t="s">
        <v>3</v>
      </c>
      <c r="BZ111">
        <v>97</v>
      </c>
      <c r="CA111">
        <v>51</v>
      </c>
      <c r="CB111" t="s">
        <v>3</v>
      </c>
      <c r="CE111">
        <v>1566</v>
      </c>
      <c r="CF111">
        <v>0</v>
      </c>
      <c r="CG111">
        <v>0</v>
      </c>
      <c r="CM111">
        <v>0</v>
      </c>
      <c r="CN111" t="s">
        <v>454</v>
      </c>
      <c r="CO111">
        <v>0</v>
      </c>
      <c r="CP111">
        <f t="shared" si="91"/>
        <v>0</v>
      </c>
      <c r="CQ111">
        <f t="shared" si="109"/>
        <v>0</v>
      </c>
      <c r="CR111">
        <f t="shared" si="118"/>
        <v>0</v>
      </c>
      <c r="CS111">
        <f t="shared" si="119"/>
        <v>0</v>
      </c>
      <c r="CT111">
        <f t="shared" si="93"/>
        <v>0</v>
      </c>
      <c r="CU111">
        <f t="shared" si="94"/>
        <v>0</v>
      </c>
      <c r="CV111">
        <f t="shared" si="95"/>
        <v>0</v>
      </c>
      <c r="CW111">
        <f t="shared" si="96"/>
        <v>0</v>
      </c>
      <c r="CX111">
        <f t="shared" si="97"/>
        <v>0</v>
      </c>
      <c r="CY111">
        <f t="shared" si="120"/>
        <v>0</v>
      </c>
      <c r="CZ111">
        <f t="shared" si="121"/>
        <v>0</v>
      </c>
      <c r="DC111" t="s">
        <v>3</v>
      </c>
      <c r="DD111" t="s">
        <v>3</v>
      </c>
      <c r="DE111" t="s">
        <v>3</v>
      </c>
      <c r="DF111" t="s">
        <v>3</v>
      </c>
      <c r="DG111" t="s">
        <v>3</v>
      </c>
      <c r="DH111" t="s">
        <v>3</v>
      </c>
      <c r="DI111" t="s">
        <v>3</v>
      </c>
      <c r="DJ111" t="s">
        <v>3</v>
      </c>
      <c r="DK111" t="s">
        <v>3</v>
      </c>
      <c r="DL111" t="s">
        <v>3</v>
      </c>
      <c r="DM111" t="s">
        <v>3</v>
      </c>
      <c r="DN111">
        <v>0</v>
      </c>
      <c r="DO111">
        <v>0</v>
      </c>
      <c r="DP111">
        <v>1</v>
      </c>
      <c r="DQ111">
        <v>1</v>
      </c>
      <c r="DU111">
        <v>1010</v>
      </c>
      <c r="DV111" t="s">
        <v>32</v>
      </c>
      <c r="DW111" t="s">
        <v>32</v>
      </c>
      <c r="DX111">
        <v>1</v>
      </c>
      <c r="DZ111" t="s">
        <v>3</v>
      </c>
      <c r="EA111" t="s">
        <v>3</v>
      </c>
      <c r="EB111" t="s">
        <v>3</v>
      </c>
      <c r="EC111" t="s">
        <v>3</v>
      </c>
      <c r="EE111">
        <v>76282301</v>
      </c>
      <c r="EF111">
        <v>40</v>
      </c>
      <c r="EG111" t="s">
        <v>20</v>
      </c>
      <c r="EH111">
        <v>0</v>
      </c>
      <c r="EI111" t="s">
        <v>3</v>
      </c>
      <c r="EJ111">
        <v>2</v>
      </c>
      <c r="EK111">
        <v>67</v>
      </c>
      <c r="EL111" t="s">
        <v>21</v>
      </c>
      <c r="EM111" t="s">
        <v>22</v>
      </c>
      <c r="EO111" t="s">
        <v>62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FQ111">
        <v>0</v>
      </c>
      <c r="FR111">
        <v>0</v>
      </c>
      <c r="FS111">
        <v>0</v>
      </c>
      <c r="FX111">
        <v>97</v>
      </c>
      <c r="FY111">
        <v>51</v>
      </c>
      <c r="GA111" t="s">
        <v>3</v>
      </c>
      <c r="GD111">
        <v>1</v>
      </c>
      <c r="GF111">
        <v>567933265</v>
      </c>
      <c r="GG111">
        <v>2</v>
      </c>
      <c r="GH111">
        <v>0</v>
      </c>
      <c r="GI111">
        <v>-2</v>
      </c>
      <c r="GJ111">
        <v>0</v>
      </c>
      <c r="GK111">
        <v>0</v>
      </c>
      <c r="GL111">
        <f t="shared" si="98"/>
        <v>0</v>
      </c>
      <c r="GM111">
        <f t="shared" si="99"/>
        <v>0</v>
      </c>
      <c r="GN111">
        <f t="shared" si="100"/>
        <v>0</v>
      </c>
      <c r="GO111">
        <f t="shared" si="101"/>
        <v>0</v>
      </c>
      <c r="GP111">
        <f t="shared" si="102"/>
        <v>0</v>
      </c>
      <c r="GR111">
        <v>0</v>
      </c>
      <c r="GS111">
        <v>0</v>
      </c>
      <c r="GT111">
        <v>0</v>
      </c>
      <c r="GU111" t="s">
        <v>3</v>
      </c>
      <c r="GV111">
        <f t="shared" si="103"/>
        <v>0</v>
      </c>
      <c r="GW111">
        <v>1</v>
      </c>
      <c r="GX111">
        <f t="shared" si="104"/>
        <v>0</v>
      </c>
      <c r="HA111">
        <v>0</v>
      </c>
      <c r="HB111">
        <v>0</v>
      </c>
      <c r="HC111">
        <f t="shared" si="105"/>
        <v>0</v>
      </c>
      <c r="HE111" t="s">
        <v>3</v>
      </c>
      <c r="HF111" t="s">
        <v>3</v>
      </c>
      <c r="HM111" t="s">
        <v>60</v>
      </c>
      <c r="HN111" t="s">
        <v>3</v>
      </c>
      <c r="HO111" t="s">
        <v>3</v>
      </c>
      <c r="HP111" t="s">
        <v>3</v>
      </c>
      <c r="HQ111" t="s">
        <v>3</v>
      </c>
      <c r="HS111">
        <v>0</v>
      </c>
      <c r="IK111">
        <v>0</v>
      </c>
    </row>
    <row r="112" spans="1:245">
      <c r="A112">
        <v>17</v>
      </c>
      <c r="B112">
        <v>1</v>
      </c>
      <c r="E112" t="s">
        <v>228</v>
      </c>
      <c r="F112" t="s">
        <v>229</v>
      </c>
      <c r="G112" t="s">
        <v>230</v>
      </c>
      <c r="H112" t="s">
        <v>215</v>
      </c>
      <c r="I112">
        <v>30</v>
      </c>
      <c r="J112">
        <v>0</v>
      </c>
      <c r="K112">
        <v>30</v>
      </c>
      <c r="O112">
        <f t="shared" si="81"/>
        <v>2074.09</v>
      </c>
      <c r="P112">
        <f t="shared" si="108"/>
        <v>2074.09</v>
      </c>
      <c r="Q112">
        <f t="shared" si="110"/>
        <v>0</v>
      </c>
      <c r="R112">
        <f t="shared" si="111"/>
        <v>0</v>
      </c>
      <c r="S112">
        <f t="shared" si="83"/>
        <v>0</v>
      </c>
      <c r="T112">
        <f t="shared" si="84"/>
        <v>0</v>
      </c>
      <c r="U112">
        <f t="shared" si="85"/>
        <v>0</v>
      </c>
      <c r="V112">
        <f t="shared" si="86"/>
        <v>0</v>
      </c>
      <c r="W112">
        <f t="shared" si="87"/>
        <v>0</v>
      </c>
      <c r="X112">
        <f t="shared" si="112"/>
        <v>0</v>
      </c>
      <c r="Y112">
        <f t="shared" si="113"/>
        <v>0</v>
      </c>
      <c r="AA112">
        <v>76282491</v>
      </c>
      <c r="AB112">
        <f t="shared" si="88"/>
        <v>16.739999999999998</v>
      </c>
      <c r="AC112">
        <f t="shared" si="114"/>
        <v>16.739999999999998</v>
      </c>
      <c r="AD112">
        <f t="shared" si="115"/>
        <v>0</v>
      </c>
      <c r="AE112">
        <f t="shared" si="116"/>
        <v>0</v>
      </c>
      <c r="AF112">
        <f t="shared" si="116"/>
        <v>0</v>
      </c>
      <c r="AG112">
        <f t="shared" si="89"/>
        <v>0</v>
      </c>
      <c r="AH112">
        <f t="shared" si="117"/>
        <v>0</v>
      </c>
      <c r="AI112">
        <f t="shared" si="117"/>
        <v>0</v>
      </c>
      <c r="AJ112">
        <f t="shared" si="90"/>
        <v>0</v>
      </c>
      <c r="AK112">
        <v>16.739999999999998</v>
      </c>
      <c r="AL112">
        <v>16.739999999999998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1</v>
      </c>
      <c r="AZ112">
        <v>1</v>
      </c>
      <c r="BA112">
        <v>1</v>
      </c>
      <c r="BB112">
        <v>1</v>
      </c>
      <c r="BC112">
        <v>4.13</v>
      </c>
      <c r="BD112" t="s">
        <v>3</v>
      </c>
      <c r="BE112" t="s">
        <v>3</v>
      </c>
      <c r="BF112" t="s">
        <v>3</v>
      </c>
      <c r="BG112" t="s">
        <v>3</v>
      </c>
      <c r="BH112">
        <v>3</v>
      </c>
      <c r="BI112">
        <v>1</v>
      </c>
      <c r="BJ112" t="s">
        <v>231</v>
      </c>
      <c r="BM112">
        <v>1617</v>
      </c>
      <c r="BN112">
        <v>0</v>
      </c>
      <c r="BO112" t="s">
        <v>229</v>
      </c>
      <c r="BP112">
        <v>1</v>
      </c>
      <c r="BQ112">
        <v>200</v>
      </c>
      <c r="BR112">
        <v>0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 t="s">
        <v>3</v>
      </c>
      <c r="BZ112">
        <v>0</v>
      </c>
      <c r="CA112">
        <v>0</v>
      </c>
      <c r="CB112" t="s">
        <v>3</v>
      </c>
      <c r="CE112">
        <v>1566</v>
      </c>
      <c r="CF112">
        <v>0</v>
      </c>
      <c r="CG112">
        <v>0</v>
      </c>
      <c r="CM112">
        <v>0</v>
      </c>
      <c r="CN112" t="s">
        <v>3</v>
      </c>
      <c r="CO112">
        <v>0</v>
      </c>
      <c r="CP112">
        <f t="shared" si="91"/>
        <v>2074.09</v>
      </c>
      <c r="CQ112">
        <f t="shared" si="109"/>
        <v>69.14</v>
      </c>
      <c r="CR112">
        <f t="shared" si="118"/>
        <v>0</v>
      </c>
      <c r="CS112">
        <f t="shared" si="119"/>
        <v>0</v>
      </c>
      <c r="CT112">
        <f t="shared" si="93"/>
        <v>0</v>
      </c>
      <c r="CU112">
        <f t="shared" si="94"/>
        <v>0</v>
      </c>
      <c r="CV112">
        <f t="shared" si="95"/>
        <v>0</v>
      </c>
      <c r="CW112">
        <f t="shared" si="96"/>
        <v>0</v>
      </c>
      <c r="CX112">
        <f t="shared" si="97"/>
        <v>0</v>
      </c>
      <c r="CY112">
        <f t="shared" si="120"/>
        <v>0</v>
      </c>
      <c r="CZ112">
        <f t="shared" si="121"/>
        <v>0</v>
      </c>
      <c r="DC112" t="s">
        <v>3</v>
      </c>
      <c r="DD112" t="s">
        <v>3</v>
      </c>
      <c r="DE112" t="s">
        <v>3</v>
      </c>
      <c r="DF112" t="s">
        <v>3</v>
      </c>
      <c r="DG112" t="s">
        <v>3</v>
      </c>
      <c r="DH112" t="s">
        <v>3</v>
      </c>
      <c r="DI112" t="s">
        <v>3</v>
      </c>
      <c r="DJ112" t="s">
        <v>3</v>
      </c>
      <c r="DK112" t="s">
        <v>3</v>
      </c>
      <c r="DL112" t="s">
        <v>3</v>
      </c>
      <c r="DM112" t="s">
        <v>3</v>
      </c>
      <c r="DN112">
        <v>0</v>
      </c>
      <c r="DO112">
        <v>0</v>
      </c>
      <c r="DP112">
        <v>1</v>
      </c>
      <c r="DQ112">
        <v>1</v>
      </c>
      <c r="DU112">
        <v>1003</v>
      </c>
      <c r="DV112" t="s">
        <v>215</v>
      </c>
      <c r="DW112" t="s">
        <v>215</v>
      </c>
      <c r="DX112">
        <v>1</v>
      </c>
      <c r="DZ112" t="s">
        <v>3</v>
      </c>
      <c r="EA112" t="s">
        <v>3</v>
      </c>
      <c r="EB112" t="s">
        <v>3</v>
      </c>
      <c r="EC112" t="s">
        <v>3</v>
      </c>
      <c r="EE112">
        <v>76282428</v>
      </c>
      <c r="EF112">
        <v>200</v>
      </c>
      <c r="EG112" t="s">
        <v>232</v>
      </c>
      <c r="EH112">
        <v>0</v>
      </c>
      <c r="EI112" t="s">
        <v>3</v>
      </c>
      <c r="EJ112">
        <v>1</v>
      </c>
      <c r="EK112">
        <v>1617</v>
      </c>
      <c r="EL112" t="s">
        <v>233</v>
      </c>
      <c r="EM112" t="s">
        <v>234</v>
      </c>
      <c r="EO112" t="s">
        <v>3</v>
      </c>
      <c r="EQ112">
        <v>131072</v>
      </c>
      <c r="ER112">
        <v>16.739999999999998</v>
      </c>
      <c r="ES112">
        <v>16.739999999999998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FQ112">
        <v>0</v>
      </c>
      <c r="FR112">
        <v>0</v>
      </c>
      <c r="FS112">
        <v>0</v>
      </c>
      <c r="FX112">
        <v>0</v>
      </c>
      <c r="FY112">
        <v>0</v>
      </c>
      <c r="GA112" t="s">
        <v>3</v>
      </c>
      <c r="GD112">
        <v>1</v>
      </c>
      <c r="GF112">
        <v>-2009022505</v>
      </c>
      <c r="GG112">
        <v>2</v>
      </c>
      <c r="GH112">
        <v>0</v>
      </c>
      <c r="GI112">
        <v>2</v>
      </c>
      <c r="GJ112">
        <v>0</v>
      </c>
      <c r="GK112">
        <v>0</v>
      </c>
      <c r="GL112">
        <f t="shared" si="98"/>
        <v>0</v>
      </c>
      <c r="GM112">
        <f t="shared" si="99"/>
        <v>2074.09</v>
      </c>
      <c r="GN112">
        <f t="shared" si="100"/>
        <v>2074.09</v>
      </c>
      <c r="GO112">
        <f t="shared" si="101"/>
        <v>0</v>
      </c>
      <c r="GP112">
        <f t="shared" si="102"/>
        <v>0</v>
      </c>
      <c r="GR112">
        <v>0</v>
      </c>
      <c r="GS112">
        <v>0</v>
      </c>
      <c r="GT112">
        <v>0</v>
      </c>
      <c r="GU112" t="s">
        <v>3</v>
      </c>
      <c r="GV112">
        <f t="shared" si="103"/>
        <v>0</v>
      </c>
      <c r="GW112">
        <v>1</v>
      </c>
      <c r="GX112">
        <f t="shared" si="104"/>
        <v>0</v>
      </c>
      <c r="HA112">
        <v>0</v>
      </c>
      <c r="HB112">
        <v>0</v>
      </c>
      <c r="HC112">
        <f t="shared" si="105"/>
        <v>0</v>
      </c>
      <c r="HE112" t="s">
        <v>3</v>
      </c>
      <c r="HF112" t="s">
        <v>3</v>
      </c>
      <c r="HM112" t="s">
        <v>3</v>
      </c>
      <c r="HN112" t="s">
        <v>3</v>
      </c>
      <c r="HO112" t="s">
        <v>3</v>
      </c>
      <c r="HP112" t="s">
        <v>3</v>
      </c>
      <c r="HQ112" t="s">
        <v>3</v>
      </c>
      <c r="HS112">
        <v>0</v>
      </c>
      <c r="IK112">
        <v>0</v>
      </c>
    </row>
    <row r="113" spans="1:245">
      <c r="A113">
        <v>17</v>
      </c>
      <c r="B113">
        <v>1</v>
      </c>
      <c r="E113" t="s">
        <v>235</v>
      </c>
      <c r="F113" t="s">
        <v>236</v>
      </c>
      <c r="G113" t="s">
        <v>237</v>
      </c>
      <c r="H113" t="s">
        <v>210</v>
      </c>
      <c r="I113">
        <f>ROUND((31)/100,9)</f>
        <v>0.31</v>
      </c>
      <c r="J113">
        <v>0</v>
      </c>
      <c r="K113">
        <f>ROUND((31)/100,9)</f>
        <v>0.31</v>
      </c>
      <c r="O113">
        <f t="shared" si="81"/>
        <v>1352.57</v>
      </c>
      <c r="P113">
        <f t="shared" si="108"/>
        <v>245.28</v>
      </c>
      <c r="Q113">
        <f>(ROUND((ROUND((((ET113*1.2))*AV113*I113),2)*BB113),2)+ROUND((ROUND(((AE113-((EU113*1.2)))*AV113*I113),2)*BS113),2))</f>
        <v>16.78</v>
      </c>
      <c r="R113">
        <f>(ROUND((ROUND((((EU113*1.2))*AV113*I113),2)*BS113),2)+ROUND((ROUND(((AE113-((EU113*1.2)))*AV113*I113),2)*BS113),2))</f>
        <v>8.09</v>
      </c>
      <c r="S113">
        <f t="shared" si="83"/>
        <v>1090.51</v>
      </c>
      <c r="T113">
        <f t="shared" si="84"/>
        <v>0</v>
      </c>
      <c r="U113">
        <f t="shared" si="85"/>
        <v>1.53264</v>
      </c>
      <c r="V113">
        <f t="shared" si="86"/>
        <v>0</v>
      </c>
      <c r="W113">
        <f t="shared" si="87"/>
        <v>0</v>
      </c>
      <c r="X113">
        <f>(ROUND((((S113+ROUND((ROUND((((EU113*1.2))*AV113*I113),2)*BS113),2))*AT113)/100),2)+ROUND(((ROUND((ROUND(((AE113-((EU113*1.2)))*AV113*I113),2)*BS113),2)*AT113)/100),2))</f>
        <v>1065.6400000000001</v>
      </c>
      <c r="Y113">
        <f>(ROUND((((S113+ROUND((ROUND((((EU113*1.2))*AV113*I113),2)*BS113),2))*AU113)/100),2)+ROUND(((ROUND((ROUND(((AE113-((EU113*1.2)))*AV113*I113),2)*BS113),2)*AU113)/100),2))</f>
        <v>560.29</v>
      </c>
      <c r="AA113">
        <v>76282491</v>
      </c>
      <c r="AB113">
        <f t="shared" si="88"/>
        <v>166.14</v>
      </c>
      <c r="AC113">
        <f>ROUND(((ES113*1)),6)</f>
        <v>102.24</v>
      </c>
      <c r="AD113">
        <f>ROUND(((((ET113*1.2))-((EU113*1.2)))+AE113),6)</f>
        <v>2.988</v>
      </c>
      <c r="AE113">
        <f>ROUND(((EU113*1.2)),6)</f>
        <v>0.45600000000000002</v>
      </c>
      <c r="AF113">
        <f>ROUND(((EV113*1.2)),6)</f>
        <v>60.911999999999999</v>
      </c>
      <c r="AG113">
        <f t="shared" si="89"/>
        <v>0</v>
      </c>
      <c r="AH113">
        <f>((EW113*1.2))</f>
        <v>4.944</v>
      </c>
      <c r="AI113">
        <f>((EX113*1.2))</f>
        <v>0</v>
      </c>
      <c r="AJ113">
        <f t="shared" si="90"/>
        <v>0</v>
      </c>
      <c r="AK113">
        <v>155.49</v>
      </c>
      <c r="AL113">
        <v>102.24</v>
      </c>
      <c r="AM113">
        <v>2.4900000000000002</v>
      </c>
      <c r="AN113">
        <v>0.38</v>
      </c>
      <c r="AO113">
        <v>50.76</v>
      </c>
      <c r="AP113">
        <v>0</v>
      </c>
      <c r="AQ113">
        <v>4.12</v>
      </c>
      <c r="AR113">
        <v>0</v>
      </c>
      <c r="AS113">
        <v>0</v>
      </c>
      <c r="AT113">
        <v>97</v>
      </c>
      <c r="AU113">
        <v>51</v>
      </c>
      <c r="AV113">
        <v>1</v>
      </c>
      <c r="AW113">
        <v>1</v>
      </c>
      <c r="AZ113">
        <v>1</v>
      </c>
      <c r="BA113">
        <v>57.76</v>
      </c>
      <c r="BB113">
        <v>18.04</v>
      </c>
      <c r="BC113">
        <v>7.74</v>
      </c>
      <c r="BD113" t="s">
        <v>3</v>
      </c>
      <c r="BE113" t="s">
        <v>3</v>
      </c>
      <c r="BF113" t="s">
        <v>3</v>
      </c>
      <c r="BG113" t="s">
        <v>3</v>
      </c>
      <c r="BH113">
        <v>0</v>
      </c>
      <c r="BI113">
        <v>2</v>
      </c>
      <c r="BJ113" t="s">
        <v>238</v>
      </c>
      <c r="BM113">
        <v>67</v>
      </c>
      <c r="BN113">
        <v>0</v>
      </c>
      <c r="BO113" t="s">
        <v>236</v>
      </c>
      <c r="BP113">
        <v>1</v>
      </c>
      <c r="BQ113">
        <v>40</v>
      </c>
      <c r="BR113">
        <v>0</v>
      </c>
      <c r="BS113">
        <v>57.76</v>
      </c>
      <c r="BT113">
        <v>1</v>
      </c>
      <c r="BU113">
        <v>1</v>
      </c>
      <c r="BV113">
        <v>1</v>
      </c>
      <c r="BW113">
        <v>1</v>
      </c>
      <c r="BX113">
        <v>1</v>
      </c>
      <c r="BY113" t="s">
        <v>3</v>
      </c>
      <c r="BZ113">
        <v>97</v>
      </c>
      <c r="CA113">
        <v>51</v>
      </c>
      <c r="CB113" t="s">
        <v>3</v>
      </c>
      <c r="CE113">
        <v>1566</v>
      </c>
      <c r="CF113">
        <v>0</v>
      </c>
      <c r="CG113">
        <v>0</v>
      </c>
      <c r="CM113">
        <v>0</v>
      </c>
      <c r="CN113" t="s">
        <v>454</v>
      </c>
      <c r="CO113">
        <v>0</v>
      </c>
      <c r="CP113">
        <f t="shared" si="91"/>
        <v>1352.57</v>
      </c>
      <c r="CQ113">
        <f t="shared" si="109"/>
        <v>791.34</v>
      </c>
      <c r="CR113">
        <f>(ROUND((ROUND((((ET113*1.2))*AV113*1),2)*BB113),2)+ROUND((ROUND(((AE113-((EU113*1.2)))*AV113*1),2)*BS113),2))</f>
        <v>53.94</v>
      </c>
      <c r="CS113">
        <f>(ROUND((ROUND((((EU113*1.2))*AV113*1),2)*BS113),2)+ROUND((ROUND(((AE113-((EU113*1.2)))*AV113*1),2)*BS113),2))</f>
        <v>26.57</v>
      </c>
      <c r="CT113">
        <f t="shared" si="93"/>
        <v>3518.16</v>
      </c>
      <c r="CU113">
        <f t="shared" si="94"/>
        <v>0</v>
      </c>
      <c r="CV113">
        <f t="shared" si="95"/>
        <v>4.944</v>
      </c>
      <c r="CW113">
        <f t="shared" si="96"/>
        <v>0</v>
      </c>
      <c r="CX113">
        <f t="shared" si="97"/>
        <v>0</v>
      </c>
      <c r="CY113">
        <f>(ROUND((((S113+ROUND((ROUND((((EU113*1.2))*AV113*1),2)*BS113),2))*AT113)/100),2)+ROUND(((ROUND((ROUND(((AE113-((EU113*1.2)))*AV113*1),2)*BS113),2)*AT113)/100),2))</f>
        <v>1083.57</v>
      </c>
      <c r="CZ113">
        <f>(ROUND((((S113+ROUND((ROUND((((EU113*1.2))*AV113*1),2)*BS113),2))*AU113)/100),2)+ROUND(((ROUND((ROUND(((AE113-((EU113*1.2)))*AV113*1),2)*BS113),2)*AU113)/100),2))</f>
        <v>569.71</v>
      </c>
      <c r="DB113">
        <v>10</v>
      </c>
      <c r="DC113" t="s">
        <v>3</v>
      </c>
      <c r="DD113" t="s">
        <v>60</v>
      </c>
      <c r="DE113" t="s">
        <v>61</v>
      </c>
      <c r="DF113" t="s">
        <v>61</v>
      </c>
      <c r="DG113" t="s">
        <v>61</v>
      </c>
      <c r="DH113" t="s">
        <v>3</v>
      </c>
      <c r="DI113" t="s">
        <v>61</v>
      </c>
      <c r="DJ113" t="s">
        <v>61</v>
      </c>
      <c r="DK113" t="s">
        <v>3</v>
      </c>
      <c r="DL113" t="s">
        <v>3</v>
      </c>
      <c r="DM113" t="s">
        <v>3</v>
      </c>
      <c r="DN113">
        <v>0</v>
      </c>
      <c r="DO113">
        <v>0</v>
      </c>
      <c r="DP113">
        <v>1</v>
      </c>
      <c r="DQ113">
        <v>1</v>
      </c>
      <c r="DU113">
        <v>1003</v>
      </c>
      <c r="DV113" t="s">
        <v>210</v>
      </c>
      <c r="DW113" t="s">
        <v>210</v>
      </c>
      <c r="DX113">
        <v>100</v>
      </c>
      <c r="DZ113" t="s">
        <v>3</v>
      </c>
      <c r="EA113" t="s">
        <v>3</v>
      </c>
      <c r="EB113" t="s">
        <v>3</v>
      </c>
      <c r="EC113" t="s">
        <v>3</v>
      </c>
      <c r="EE113">
        <v>76282301</v>
      </c>
      <c r="EF113">
        <v>40</v>
      </c>
      <c r="EG113" t="s">
        <v>20</v>
      </c>
      <c r="EH113">
        <v>0</v>
      </c>
      <c r="EI113" t="s">
        <v>3</v>
      </c>
      <c r="EJ113">
        <v>2</v>
      </c>
      <c r="EK113">
        <v>67</v>
      </c>
      <c r="EL113" t="s">
        <v>21</v>
      </c>
      <c r="EM113" t="s">
        <v>22</v>
      </c>
      <c r="EO113" t="s">
        <v>62</v>
      </c>
      <c r="EQ113">
        <v>131072</v>
      </c>
      <c r="ER113">
        <v>155.49</v>
      </c>
      <c r="ES113">
        <v>102.24</v>
      </c>
      <c r="ET113">
        <v>2.4900000000000002</v>
      </c>
      <c r="EU113">
        <v>0.38</v>
      </c>
      <c r="EV113">
        <v>50.76</v>
      </c>
      <c r="EW113">
        <v>4.12</v>
      </c>
      <c r="EX113">
        <v>0</v>
      </c>
      <c r="EY113">
        <v>0</v>
      </c>
      <c r="FQ113">
        <v>0</v>
      </c>
      <c r="FR113">
        <v>0</v>
      </c>
      <c r="FS113">
        <v>0</v>
      </c>
      <c r="FX113">
        <v>97</v>
      </c>
      <c r="FY113">
        <v>51</v>
      </c>
      <c r="GA113" t="s">
        <v>3</v>
      </c>
      <c r="GD113">
        <v>1</v>
      </c>
      <c r="GF113">
        <v>-698950062</v>
      </c>
      <c r="GG113">
        <v>2</v>
      </c>
      <c r="GH113">
        <v>0</v>
      </c>
      <c r="GI113">
        <v>2</v>
      </c>
      <c r="GJ113">
        <v>0</v>
      </c>
      <c r="GK113">
        <v>0</v>
      </c>
      <c r="GL113">
        <f t="shared" si="98"/>
        <v>0</v>
      </c>
      <c r="GM113">
        <f t="shared" si="99"/>
        <v>2978.5</v>
      </c>
      <c r="GN113">
        <f t="shared" si="100"/>
        <v>0</v>
      </c>
      <c r="GO113">
        <f t="shared" si="101"/>
        <v>2978.5</v>
      </c>
      <c r="GP113">
        <f t="shared" si="102"/>
        <v>0</v>
      </c>
      <c r="GR113">
        <v>0</v>
      </c>
      <c r="GS113">
        <v>7</v>
      </c>
      <c r="GT113">
        <v>0</v>
      </c>
      <c r="GU113" t="s">
        <v>3</v>
      </c>
      <c r="GV113">
        <f t="shared" si="103"/>
        <v>0</v>
      </c>
      <c r="GW113">
        <v>1</v>
      </c>
      <c r="GX113">
        <f t="shared" si="104"/>
        <v>0</v>
      </c>
      <c r="HA113">
        <v>0</v>
      </c>
      <c r="HB113">
        <v>0</v>
      </c>
      <c r="HC113">
        <f t="shared" si="105"/>
        <v>0</v>
      </c>
      <c r="HE113" t="s">
        <v>3</v>
      </c>
      <c r="HF113" t="s">
        <v>3</v>
      </c>
      <c r="HM113" t="s">
        <v>3</v>
      </c>
      <c r="HN113" t="s">
        <v>3</v>
      </c>
      <c r="HO113" t="s">
        <v>3</v>
      </c>
      <c r="HP113" t="s">
        <v>3</v>
      </c>
      <c r="HQ113" t="s">
        <v>3</v>
      </c>
      <c r="HS113">
        <v>0</v>
      </c>
      <c r="IK113">
        <v>0</v>
      </c>
    </row>
    <row r="114" spans="1:245">
      <c r="A114">
        <v>18</v>
      </c>
      <c r="B114">
        <v>1</v>
      </c>
      <c r="E114" t="s">
        <v>239</v>
      </c>
      <c r="F114" t="s">
        <v>240</v>
      </c>
      <c r="G114" t="s">
        <v>241</v>
      </c>
      <c r="H114" t="s">
        <v>242</v>
      </c>
      <c r="I114">
        <f>I113*J114</f>
        <v>3.1620000000000002E-2</v>
      </c>
      <c r="J114">
        <v>0.10200000000000001</v>
      </c>
      <c r="K114">
        <v>0.10199999999999999</v>
      </c>
      <c r="O114">
        <f t="shared" si="81"/>
        <v>0</v>
      </c>
      <c r="P114">
        <f t="shared" si="108"/>
        <v>0</v>
      </c>
      <c r="Q114">
        <f>(ROUND((ROUND(((ET114)*AV114*I114),2)*BB114),2)+ROUND((ROUND(((AE114-(EU114))*AV114*I114),2)*BS114),2))</f>
        <v>0</v>
      </c>
      <c r="R114">
        <f>(ROUND((ROUND(((EU114)*AV114*I114),2)*BS114),2)+ROUND((ROUND(((AE114-(EU114))*AV114*I114),2)*BS114),2))</f>
        <v>0</v>
      </c>
      <c r="S114">
        <f t="shared" si="83"/>
        <v>0</v>
      </c>
      <c r="T114">
        <f t="shared" si="84"/>
        <v>0</v>
      </c>
      <c r="U114">
        <f t="shared" si="85"/>
        <v>0</v>
      </c>
      <c r="V114">
        <f t="shared" si="86"/>
        <v>0</v>
      </c>
      <c r="W114">
        <f t="shared" si="87"/>
        <v>0</v>
      </c>
      <c r="X114">
        <f>(ROUND((((S114+ROUND((ROUND(((EU114)*AV114*I114),2)*BS114),2))*AT114)/100),2)+ROUND(((ROUND((ROUND(((AE114-(EU114))*AV114*I114),2)*BS114),2)*AT114)/100),2))</f>
        <v>0</v>
      </c>
      <c r="Y114">
        <f>(ROUND((((S114+ROUND((ROUND(((EU114)*AV114*I114),2)*BS114),2))*AU114)/100),2)+ROUND(((ROUND((ROUND(((AE114-(EU114))*AV114*I114),2)*BS114),2)*AU114)/100),2))</f>
        <v>0</v>
      </c>
      <c r="AA114">
        <v>76282491</v>
      </c>
      <c r="AB114">
        <f t="shared" si="88"/>
        <v>0</v>
      </c>
      <c r="AC114">
        <f>ROUND((ES114),6)</f>
        <v>0</v>
      </c>
      <c r="AD114">
        <f>ROUND((((ET114)-(EU114))+AE114),6)</f>
        <v>0</v>
      </c>
      <c r="AE114">
        <f>ROUND((EU114),6)</f>
        <v>0</v>
      </c>
      <c r="AF114">
        <f>ROUND((EV114),6)</f>
        <v>0</v>
      </c>
      <c r="AG114">
        <f t="shared" si="89"/>
        <v>0</v>
      </c>
      <c r="AH114">
        <f>(EW114)</f>
        <v>0</v>
      </c>
      <c r="AI114">
        <f>(EX114)</f>
        <v>0</v>
      </c>
      <c r="AJ114">
        <f t="shared" si="90"/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97</v>
      </c>
      <c r="AU114">
        <v>51</v>
      </c>
      <c r="AV114">
        <v>1</v>
      </c>
      <c r="AW114">
        <v>1</v>
      </c>
      <c r="AZ114">
        <v>1</v>
      </c>
      <c r="BA114">
        <v>1</v>
      </c>
      <c r="BB114">
        <v>1</v>
      </c>
      <c r="BC114">
        <v>1</v>
      </c>
      <c r="BD114" t="s">
        <v>3</v>
      </c>
      <c r="BE114" t="s">
        <v>3</v>
      </c>
      <c r="BF114" t="s">
        <v>3</v>
      </c>
      <c r="BG114" t="s">
        <v>3</v>
      </c>
      <c r="BH114">
        <v>3</v>
      </c>
      <c r="BI114">
        <v>2</v>
      </c>
      <c r="BJ114" t="s">
        <v>3</v>
      </c>
      <c r="BM114">
        <v>67</v>
      </c>
      <c r="BN114">
        <v>0</v>
      </c>
      <c r="BO114" t="s">
        <v>3</v>
      </c>
      <c r="BP114">
        <v>0</v>
      </c>
      <c r="BQ114">
        <v>40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1</v>
      </c>
      <c r="BY114" t="s">
        <v>3</v>
      </c>
      <c r="BZ114">
        <v>97</v>
      </c>
      <c r="CA114">
        <v>51</v>
      </c>
      <c r="CB114" t="s">
        <v>3</v>
      </c>
      <c r="CE114">
        <v>1566</v>
      </c>
      <c r="CF114">
        <v>0</v>
      </c>
      <c r="CG114">
        <v>0</v>
      </c>
      <c r="CM114">
        <v>0</v>
      </c>
      <c r="CN114" t="s">
        <v>454</v>
      </c>
      <c r="CO114">
        <v>0</v>
      </c>
      <c r="CP114">
        <f t="shared" si="91"/>
        <v>0</v>
      </c>
      <c r="CQ114">
        <f t="shared" si="109"/>
        <v>0</v>
      </c>
      <c r="CR114">
        <f>(ROUND((ROUND(((ET114)*AV114*1),2)*BB114),2)+ROUND((ROUND(((AE114-(EU114))*AV114*1),2)*BS114),2))</f>
        <v>0</v>
      </c>
      <c r="CS114">
        <f>(ROUND((ROUND(((EU114)*AV114*1),2)*BS114),2)+ROUND((ROUND(((AE114-(EU114))*AV114*1),2)*BS114),2))</f>
        <v>0</v>
      </c>
      <c r="CT114">
        <f t="shared" si="93"/>
        <v>0</v>
      </c>
      <c r="CU114">
        <f t="shared" si="94"/>
        <v>0</v>
      </c>
      <c r="CV114">
        <f t="shared" si="95"/>
        <v>0</v>
      </c>
      <c r="CW114">
        <f t="shared" si="96"/>
        <v>0</v>
      </c>
      <c r="CX114">
        <f t="shared" si="97"/>
        <v>0</v>
      </c>
      <c r="CY114">
        <f>(ROUND((((S114+ROUND((ROUND(((EU114)*AV114*1),2)*BS114),2))*AT114)/100),2)+ROUND(((ROUND((ROUND(((AE114-(EU114))*AV114*1),2)*BS114),2)*AT114)/100),2))</f>
        <v>0</v>
      </c>
      <c r="CZ114">
        <f>(ROUND((((S114+ROUND((ROUND(((EU114)*AV114*1),2)*BS114),2))*AU114)/100),2)+ROUND(((ROUND((ROUND(((AE114-(EU114))*AV114*1),2)*BS114),2)*AU114)/100),2))</f>
        <v>0</v>
      </c>
      <c r="DC114" t="s">
        <v>3</v>
      </c>
      <c r="DD114" t="s">
        <v>3</v>
      </c>
      <c r="DE114" t="s">
        <v>3</v>
      </c>
      <c r="DF114" t="s">
        <v>3</v>
      </c>
      <c r="DG114" t="s">
        <v>3</v>
      </c>
      <c r="DH114" t="s">
        <v>3</v>
      </c>
      <c r="DI114" t="s">
        <v>3</v>
      </c>
      <c r="DJ114" t="s">
        <v>3</v>
      </c>
      <c r="DK114" t="s">
        <v>3</v>
      </c>
      <c r="DL114" t="s">
        <v>3</v>
      </c>
      <c r="DM114" t="s">
        <v>3</v>
      </c>
      <c r="DN114">
        <v>0</v>
      </c>
      <c r="DO114">
        <v>0</v>
      </c>
      <c r="DP114">
        <v>1</v>
      </c>
      <c r="DQ114">
        <v>1</v>
      </c>
      <c r="DU114">
        <v>1003</v>
      </c>
      <c r="DV114" t="s">
        <v>242</v>
      </c>
      <c r="DW114" t="s">
        <v>242</v>
      </c>
      <c r="DX114">
        <v>1000</v>
      </c>
      <c r="DZ114" t="s">
        <v>3</v>
      </c>
      <c r="EA114" t="s">
        <v>3</v>
      </c>
      <c r="EB114" t="s">
        <v>3</v>
      </c>
      <c r="EC114" t="s">
        <v>3</v>
      </c>
      <c r="EE114">
        <v>76282301</v>
      </c>
      <c r="EF114">
        <v>40</v>
      </c>
      <c r="EG114" t="s">
        <v>20</v>
      </c>
      <c r="EH114">
        <v>0</v>
      </c>
      <c r="EI114" t="s">
        <v>3</v>
      </c>
      <c r="EJ114">
        <v>2</v>
      </c>
      <c r="EK114">
        <v>67</v>
      </c>
      <c r="EL114" t="s">
        <v>21</v>
      </c>
      <c r="EM114" t="s">
        <v>22</v>
      </c>
      <c r="EO114" t="s">
        <v>62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FQ114">
        <v>0</v>
      </c>
      <c r="FR114">
        <v>0</v>
      </c>
      <c r="FS114">
        <v>0</v>
      </c>
      <c r="FX114">
        <v>97</v>
      </c>
      <c r="FY114">
        <v>51</v>
      </c>
      <c r="GA114" t="s">
        <v>3</v>
      </c>
      <c r="GD114">
        <v>1</v>
      </c>
      <c r="GF114">
        <v>-507544343</v>
      </c>
      <c r="GG114">
        <v>2</v>
      </c>
      <c r="GH114">
        <v>0</v>
      </c>
      <c r="GI114">
        <v>-2</v>
      </c>
      <c r="GJ114">
        <v>0</v>
      </c>
      <c r="GK114">
        <v>0</v>
      </c>
      <c r="GL114">
        <f t="shared" si="98"/>
        <v>0</v>
      </c>
      <c r="GM114">
        <f t="shared" si="99"/>
        <v>0</v>
      </c>
      <c r="GN114">
        <f t="shared" si="100"/>
        <v>0</v>
      </c>
      <c r="GO114">
        <f t="shared" si="101"/>
        <v>0</v>
      </c>
      <c r="GP114">
        <f t="shared" si="102"/>
        <v>0</v>
      </c>
      <c r="GR114">
        <v>0</v>
      </c>
      <c r="GS114">
        <v>0</v>
      </c>
      <c r="GT114">
        <v>0</v>
      </c>
      <c r="GU114" t="s">
        <v>3</v>
      </c>
      <c r="GV114">
        <f t="shared" si="103"/>
        <v>0</v>
      </c>
      <c r="GW114">
        <v>1</v>
      </c>
      <c r="GX114">
        <f t="shared" si="104"/>
        <v>0</v>
      </c>
      <c r="HA114">
        <v>0</v>
      </c>
      <c r="HB114">
        <v>0</v>
      </c>
      <c r="HC114">
        <f t="shared" si="105"/>
        <v>0</v>
      </c>
      <c r="HE114" t="s">
        <v>3</v>
      </c>
      <c r="HF114" t="s">
        <v>3</v>
      </c>
      <c r="HM114" t="s">
        <v>60</v>
      </c>
      <c r="HN114" t="s">
        <v>3</v>
      </c>
      <c r="HO114" t="s">
        <v>3</v>
      </c>
      <c r="HP114" t="s">
        <v>3</v>
      </c>
      <c r="HQ114" t="s">
        <v>3</v>
      </c>
      <c r="HS114">
        <v>0</v>
      </c>
      <c r="IK114">
        <v>0</v>
      </c>
    </row>
    <row r="115" spans="1:245">
      <c r="A115">
        <v>17</v>
      </c>
      <c r="B115">
        <v>1</v>
      </c>
      <c r="E115" t="s">
        <v>243</v>
      </c>
      <c r="F115" t="s">
        <v>51</v>
      </c>
      <c r="G115" t="s">
        <v>244</v>
      </c>
      <c r="H115" t="s">
        <v>215</v>
      </c>
      <c r="I115">
        <v>31.62</v>
      </c>
      <c r="J115">
        <v>0</v>
      </c>
      <c r="K115">
        <v>31.62</v>
      </c>
      <c r="O115">
        <f t="shared" si="81"/>
        <v>12126.9</v>
      </c>
      <c r="P115">
        <f t="shared" si="108"/>
        <v>12126.9</v>
      </c>
      <c r="Q115">
        <f>(ROUND((ROUND(((ET115)*AV115*I115),2)*BB115),2)+ROUND((ROUND(((AE115-(EU115))*AV115*I115),2)*BS115),2))</f>
        <v>0</v>
      </c>
      <c r="R115">
        <f>(ROUND((ROUND(((EU115)*AV115*I115),2)*BS115),2)+ROUND((ROUND(((AE115-(EU115))*AV115*I115),2)*BS115),2))</f>
        <v>0</v>
      </c>
      <c r="S115">
        <f t="shared" si="83"/>
        <v>0</v>
      </c>
      <c r="T115">
        <f t="shared" si="84"/>
        <v>0</v>
      </c>
      <c r="U115">
        <f t="shared" si="85"/>
        <v>0</v>
      </c>
      <c r="V115">
        <f t="shared" si="86"/>
        <v>0</v>
      </c>
      <c r="W115">
        <f t="shared" si="87"/>
        <v>0</v>
      </c>
      <c r="X115">
        <f>(ROUND((((S115+ROUND((ROUND(((EU115)*AV115*I115),2)*BS115),2))*AT115)/100),2)+ROUND(((ROUND((ROUND(((AE115-(EU115))*AV115*I115),2)*BS115),2)*AT115)/100),2))</f>
        <v>0</v>
      </c>
      <c r="Y115">
        <f>(ROUND((((S115+ROUND((ROUND(((EU115)*AV115*I115),2)*BS115),2))*AU115)/100),2)+ROUND(((ROUND((ROUND(((AE115-(EU115))*AV115*I115),2)*BS115),2)*AU115)/100),2))</f>
        <v>0</v>
      </c>
      <c r="AA115">
        <v>76282491</v>
      </c>
      <c r="AB115">
        <f t="shared" si="88"/>
        <v>383.52</v>
      </c>
      <c r="AC115">
        <f>ROUND((ES115),6)</f>
        <v>383.52</v>
      </c>
      <c r="AD115">
        <f>ROUND((((ET115)-(EU115))+AE115),6)</f>
        <v>0</v>
      </c>
      <c r="AE115">
        <f>ROUND((EU115),6)</f>
        <v>0</v>
      </c>
      <c r="AF115">
        <f>ROUND((EV115),6)</f>
        <v>0</v>
      </c>
      <c r="AG115">
        <f t="shared" si="89"/>
        <v>0</v>
      </c>
      <c r="AH115">
        <f>(EW115)</f>
        <v>0</v>
      </c>
      <c r="AI115">
        <f>(EX115)</f>
        <v>0</v>
      </c>
      <c r="AJ115">
        <f t="shared" si="90"/>
        <v>0</v>
      </c>
      <c r="AK115">
        <v>383.52</v>
      </c>
      <c r="AL115">
        <v>383.52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1</v>
      </c>
      <c r="AW115">
        <v>1</v>
      </c>
      <c r="AZ115">
        <v>1</v>
      </c>
      <c r="BA115">
        <v>1</v>
      </c>
      <c r="BB115">
        <v>1</v>
      </c>
      <c r="BC115">
        <v>1</v>
      </c>
      <c r="BD115" t="s">
        <v>3</v>
      </c>
      <c r="BE115" t="s">
        <v>3</v>
      </c>
      <c r="BF115" t="s">
        <v>3</v>
      </c>
      <c r="BG115" t="s">
        <v>3</v>
      </c>
      <c r="BH115">
        <v>3</v>
      </c>
      <c r="BI115">
        <v>1</v>
      </c>
      <c r="BJ115" t="s">
        <v>3</v>
      </c>
      <c r="BM115">
        <v>400002</v>
      </c>
      <c r="BN115">
        <v>0</v>
      </c>
      <c r="BO115" t="s">
        <v>3</v>
      </c>
      <c r="BP115">
        <v>0</v>
      </c>
      <c r="BQ115">
        <v>202</v>
      </c>
      <c r="BR115">
        <v>0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 t="s">
        <v>3</v>
      </c>
      <c r="BZ115">
        <v>0</v>
      </c>
      <c r="CA115">
        <v>0</v>
      </c>
      <c r="CB115" t="s">
        <v>3</v>
      </c>
      <c r="CE115">
        <v>1566</v>
      </c>
      <c r="CF115">
        <v>0</v>
      </c>
      <c r="CG115">
        <v>0</v>
      </c>
      <c r="CM115">
        <v>0</v>
      </c>
      <c r="CN115" t="s">
        <v>3</v>
      </c>
      <c r="CO115">
        <v>0</v>
      </c>
      <c r="CP115">
        <f t="shared" si="91"/>
        <v>12126.9</v>
      </c>
      <c r="CQ115">
        <f t="shared" si="109"/>
        <v>383.52</v>
      </c>
      <c r="CR115">
        <f>(ROUND((ROUND(((ET115)*AV115*1),2)*BB115),2)+ROUND((ROUND(((AE115-(EU115))*AV115*1),2)*BS115),2))</f>
        <v>0</v>
      </c>
      <c r="CS115">
        <f>(ROUND((ROUND(((EU115)*AV115*1),2)*BS115),2)+ROUND((ROUND(((AE115-(EU115))*AV115*1),2)*BS115),2))</f>
        <v>0</v>
      </c>
      <c r="CT115">
        <f t="shared" si="93"/>
        <v>0</v>
      </c>
      <c r="CU115">
        <f t="shared" si="94"/>
        <v>0</v>
      </c>
      <c r="CV115">
        <f t="shared" si="95"/>
        <v>0</v>
      </c>
      <c r="CW115">
        <f t="shared" si="96"/>
        <v>0</v>
      </c>
      <c r="CX115">
        <f t="shared" si="97"/>
        <v>0</v>
      </c>
      <c r="CY115">
        <f>(ROUND((((S115+ROUND((ROUND(((EU115)*AV115*1),2)*BS115),2))*AT115)/100),2)+ROUND(((ROUND((ROUND(((AE115-(EU115))*AV115*1),2)*BS115),2)*AT115)/100),2))</f>
        <v>0</v>
      </c>
      <c r="CZ115">
        <f>(ROUND((((S115+ROUND((ROUND(((EU115)*AV115*1),2)*BS115),2))*AU115)/100),2)+ROUND(((ROUND((ROUND(((AE115-(EU115))*AV115*1),2)*BS115),2)*AU115)/100),2))</f>
        <v>0</v>
      </c>
      <c r="DC115" t="s">
        <v>3</v>
      </c>
      <c r="DD115" t="s">
        <v>3</v>
      </c>
      <c r="DE115" t="s">
        <v>3</v>
      </c>
      <c r="DF115" t="s">
        <v>3</v>
      </c>
      <c r="DG115" t="s">
        <v>3</v>
      </c>
      <c r="DH115" t="s">
        <v>3</v>
      </c>
      <c r="DI115" t="s">
        <v>3</v>
      </c>
      <c r="DJ115" t="s">
        <v>3</v>
      </c>
      <c r="DK115" t="s">
        <v>3</v>
      </c>
      <c r="DL115" t="s">
        <v>3</v>
      </c>
      <c r="DM115" t="s">
        <v>3</v>
      </c>
      <c r="DN115">
        <v>0</v>
      </c>
      <c r="DO115">
        <v>0</v>
      </c>
      <c r="DP115">
        <v>1</v>
      </c>
      <c r="DQ115">
        <v>1</v>
      </c>
      <c r="DU115">
        <v>1003</v>
      </c>
      <c r="DV115" t="s">
        <v>215</v>
      </c>
      <c r="DW115" t="s">
        <v>215</v>
      </c>
      <c r="DX115">
        <v>1</v>
      </c>
      <c r="DZ115" t="s">
        <v>3</v>
      </c>
      <c r="EA115" t="s">
        <v>3</v>
      </c>
      <c r="EB115" t="s">
        <v>3</v>
      </c>
      <c r="EC115" t="s">
        <v>3</v>
      </c>
      <c r="EE115">
        <v>76282439</v>
      </c>
      <c r="EF115">
        <v>202</v>
      </c>
      <c r="EG115" t="s">
        <v>196</v>
      </c>
      <c r="EH115">
        <v>0</v>
      </c>
      <c r="EI115" t="s">
        <v>3</v>
      </c>
      <c r="EJ115">
        <v>1</v>
      </c>
      <c r="EK115">
        <v>400002</v>
      </c>
      <c r="EL115" t="s">
        <v>197</v>
      </c>
      <c r="EM115" t="s">
        <v>196</v>
      </c>
      <c r="EO115" t="s">
        <v>3</v>
      </c>
      <c r="EQ115">
        <v>131072</v>
      </c>
      <c r="ER115">
        <v>383.52</v>
      </c>
      <c r="ES115">
        <v>383.52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5</v>
      </c>
      <c r="FC115">
        <v>0</v>
      </c>
      <c r="FD115">
        <v>18</v>
      </c>
      <c r="FF115">
        <v>376</v>
      </c>
      <c r="FQ115">
        <v>0</v>
      </c>
      <c r="FR115">
        <v>0</v>
      </c>
      <c r="FS115">
        <v>0</v>
      </c>
      <c r="FX115">
        <v>0</v>
      </c>
      <c r="FY115">
        <v>0</v>
      </c>
      <c r="GA115" t="s">
        <v>245</v>
      </c>
      <c r="GD115">
        <v>1</v>
      </c>
      <c r="GF115">
        <v>-1099975914</v>
      </c>
      <c r="GG115">
        <v>2</v>
      </c>
      <c r="GH115">
        <v>3</v>
      </c>
      <c r="GI115">
        <v>-2</v>
      </c>
      <c r="GJ115">
        <v>0</v>
      </c>
      <c r="GK115">
        <v>0</v>
      </c>
      <c r="GL115">
        <f t="shared" si="98"/>
        <v>0</v>
      </c>
      <c r="GM115">
        <f t="shared" si="99"/>
        <v>12126.9</v>
      </c>
      <c r="GN115">
        <f t="shared" si="100"/>
        <v>12126.9</v>
      </c>
      <c r="GO115">
        <f t="shared" si="101"/>
        <v>0</v>
      </c>
      <c r="GP115">
        <f t="shared" si="102"/>
        <v>0</v>
      </c>
      <c r="GR115">
        <v>1</v>
      </c>
      <c r="GS115">
        <v>1</v>
      </c>
      <c r="GT115">
        <v>0</v>
      </c>
      <c r="GU115" t="s">
        <v>3</v>
      </c>
      <c r="GV115">
        <f t="shared" si="103"/>
        <v>0</v>
      </c>
      <c r="GW115">
        <v>1</v>
      </c>
      <c r="GX115">
        <f t="shared" si="104"/>
        <v>0</v>
      </c>
      <c r="HA115">
        <v>0</v>
      </c>
      <c r="HB115">
        <v>0</v>
      </c>
      <c r="HC115">
        <f t="shared" si="105"/>
        <v>0</v>
      </c>
      <c r="HE115" t="s">
        <v>57</v>
      </c>
      <c r="HF115" t="s">
        <v>40</v>
      </c>
      <c r="HM115" t="s">
        <v>3</v>
      </c>
      <c r="HN115" t="s">
        <v>3</v>
      </c>
      <c r="HO115" t="s">
        <v>3</v>
      </c>
      <c r="HP115" t="s">
        <v>3</v>
      </c>
      <c r="HQ115" t="s">
        <v>3</v>
      </c>
      <c r="HS115">
        <v>0</v>
      </c>
      <c r="IK115">
        <v>0</v>
      </c>
    </row>
    <row r="116" spans="1:245">
      <c r="A116">
        <v>17</v>
      </c>
      <c r="B116">
        <v>1</v>
      </c>
      <c r="E116" t="s">
        <v>246</v>
      </c>
      <c r="F116" t="s">
        <v>90</v>
      </c>
      <c r="G116" t="s">
        <v>91</v>
      </c>
      <c r="H116" t="s">
        <v>92</v>
      </c>
      <c r="I116">
        <f>ROUND(10/100,9)</f>
        <v>0.1</v>
      </c>
      <c r="J116">
        <v>0</v>
      </c>
      <c r="K116">
        <f>ROUND(10/100,9)</f>
        <v>0.1</v>
      </c>
      <c r="O116">
        <f t="shared" si="81"/>
        <v>1434.38</v>
      </c>
      <c r="P116">
        <f t="shared" si="108"/>
        <v>41.72</v>
      </c>
      <c r="Q116">
        <f>(ROUND((ROUND((((ET116*1.2))*AV116*I116),2)*BB116),2)+ROUND((ROUND(((AE116-((EU116*1.2)))*AV116*I116),2)*BS116),2))</f>
        <v>1.8</v>
      </c>
      <c r="R116">
        <f>(ROUND((ROUND((((EU116*1.2))*AV116*I116),2)*BS116),2)+ROUND((ROUND(((AE116-((EU116*1.2)))*AV116*I116),2)*BS116),2))</f>
        <v>1.1599999999999999</v>
      </c>
      <c r="S116">
        <f t="shared" si="83"/>
        <v>1390.86</v>
      </c>
      <c r="T116">
        <f t="shared" si="84"/>
        <v>0</v>
      </c>
      <c r="U116">
        <f t="shared" si="85"/>
        <v>1.8540000000000001</v>
      </c>
      <c r="V116">
        <f t="shared" si="86"/>
        <v>0</v>
      </c>
      <c r="W116">
        <f t="shared" si="87"/>
        <v>0</v>
      </c>
      <c r="X116">
        <f>(ROUND((((S116+ROUND((ROUND((((EU116*1.2))*AV116*I116),2)*BS116),2))*AT116)/100),2)+ROUND(((ROUND((ROUND(((AE116-((EU116*1.2)))*AV116*I116),2)*BS116),2)*AT116)/100),2))</f>
        <v>1350.26</v>
      </c>
      <c r="Y116">
        <f>(ROUND((((S116+ROUND((ROUND((((EU116*1.2))*AV116*I116),2)*BS116),2))*AU116)/100),2)+ROUND(((ROUND((ROUND(((AE116-((EU116*1.2)))*AV116*I116),2)*BS116),2)*AU116)/100),2))</f>
        <v>709.93</v>
      </c>
      <c r="AA116">
        <v>76282491</v>
      </c>
      <c r="AB116">
        <f t="shared" si="88"/>
        <v>315.93599999999998</v>
      </c>
      <c r="AC116">
        <f>ROUND(((ES116*1)),6)</f>
        <v>74.099999999999994</v>
      </c>
      <c r="AD116">
        <f>ROUND(((((ET116*1.2))-((EU116*1.2)))+AE116),6)</f>
        <v>0.996</v>
      </c>
      <c r="AE116">
        <f>ROUND(((EU116*1.2)),6)</f>
        <v>0.156</v>
      </c>
      <c r="AF116">
        <f>ROUND(((EV116*1.2)),6)</f>
        <v>240.84</v>
      </c>
      <c r="AG116">
        <f t="shared" si="89"/>
        <v>0</v>
      </c>
      <c r="AH116">
        <f>((EW116*1.2))</f>
        <v>18.54</v>
      </c>
      <c r="AI116">
        <f>((EX116*1.2))</f>
        <v>0</v>
      </c>
      <c r="AJ116">
        <f t="shared" si="90"/>
        <v>0</v>
      </c>
      <c r="AK116">
        <v>275.63</v>
      </c>
      <c r="AL116">
        <v>74.099999999999994</v>
      </c>
      <c r="AM116">
        <v>0.83</v>
      </c>
      <c r="AN116">
        <v>0.13</v>
      </c>
      <c r="AO116">
        <v>200.7</v>
      </c>
      <c r="AP116">
        <v>0</v>
      </c>
      <c r="AQ116">
        <v>15.45</v>
      </c>
      <c r="AR116">
        <v>0</v>
      </c>
      <c r="AS116">
        <v>0</v>
      </c>
      <c r="AT116">
        <v>97</v>
      </c>
      <c r="AU116">
        <v>51</v>
      </c>
      <c r="AV116">
        <v>1</v>
      </c>
      <c r="AW116">
        <v>1</v>
      </c>
      <c r="AZ116">
        <v>1</v>
      </c>
      <c r="BA116">
        <v>57.76</v>
      </c>
      <c r="BB116">
        <v>18.04</v>
      </c>
      <c r="BC116">
        <v>5.63</v>
      </c>
      <c r="BD116" t="s">
        <v>3</v>
      </c>
      <c r="BE116" t="s">
        <v>3</v>
      </c>
      <c r="BF116" t="s">
        <v>3</v>
      </c>
      <c r="BG116" t="s">
        <v>3</v>
      </c>
      <c r="BH116">
        <v>0</v>
      </c>
      <c r="BI116">
        <v>2</v>
      </c>
      <c r="BJ116" t="s">
        <v>93</v>
      </c>
      <c r="BM116">
        <v>67</v>
      </c>
      <c r="BN116">
        <v>0</v>
      </c>
      <c r="BO116" t="s">
        <v>90</v>
      </c>
      <c r="BP116">
        <v>1</v>
      </c>
      <c r="BQ116">
        <v>40</v>
      </c>
      <c r="BR116">
        <v>0</v>
      </c>
      <c r="BS116">
        <v>57.76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97</v>
      </c>
      <c r="CA116">
        <v>51</v>
      </c>
      <c r="CB116" t="s">
        <v>3</v>
      </c>
      <c r="CE116">
        <v>1566</v>
      </c>
      <c r="CF116">
        <v>0</v>
      </c>
      <c r="CG116">
        <v>0</v>
      </c>
      <c r="CM116">
        <v>0</v>
      </c>
      <c r="CN116" t="s">
        <v>454</v>
      </c>
      <c r="CO116">
        <v>0</v>
      </c>
      <c r="CP116">
        <f t="shared" si="91"/>
        <v>1434.3799999999999</v>
      </c>
      <c r="CQ116">
        <f t="shared" si="109"/>
        <v>417.18</v>
      </c>
      <c r="CR116">
        <f>(ROUND((ROUND((((ET116*1.2))*AV116*1),2)*BB116),2)+ROUND((ROUND(((AE116-((EU116*1.2)))*AV116*1),2)*BS116),2))</f>
        <v>18.04</v>
      </c>
      <c r="CS116">
        <f>(ROUND((ROUND((((EU116*1.2))*AV116*1),2)*BS116),2)+ROUND((ROUND(((AE116-((EU116*1.2)))*AV116*1),2)*BS116),2))</f>
        <v>9.24</v>
      </c>
      <c r="CT116">
        <f t="shared" si="93"/>
        <v>13910.92</v>
      </c>
      <c r="CU116">
        <f t="shared" si="94"/>
        <v>0</v>
      </c>
      <c r="CV116">
        <f t="shared" si="95"/>
        <v>18.54</v>
      </c>
      <c r="CW116">
        <f t="shared" si="96"/>
        <v>0</v>
      </c>
      <c r="CX116">
        <f t="shared" si="97"/>
        <v>0</v>
      </c>
      <c r="CY116">
        <f>(ROUND((((S116+ROUND((ROUND((((EU116*1.2))*AV116*1),2)*BS116),2))*AT116)/100),2)+ROUND(((ROUND((ROUND(((AE116-((EU116*1.2)))*AV116*1),2)*BS116),2)*AT116)/100),2))</f>
        <v>1358.1</v>
      </c>
      <c r="CZ116">
        <f>(ROUND((((S116+ROUND((ROUND((((EU116*1.2))*AV116*1),2)*BS116),2))*AU116)/100),2)+ROUND(((ROUND((ROUND(((AE116-((EU116*1.2)))*AV116*1),2)*BS116),2)*AU116)/100),2))</f>
        <v>714.05</v>
      </c>
      <c r="DB116">
        <v>11</v>
      </c>
      <c r="DC116" t="s">
        <v>3</v>
      </c>
      <c r="DD116" t="s">
        <v>60</v>
      </c>
      <c r="DE116" t="s">
        <v>61</v>
      </c>
      <c r="DF116" t="s">
        <v>61</v>
      </c>
      <c r="DG116" t="s">
        <v>61</v>
      </c>
      <c r="DH116" t="s">
        <v>3</v>
      </c>
      <c r="DI116" t="s">
        <v>61</v>
      </c>
      <c r="DJ116" t="s">
        <v>61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1013</v>
      </c>
      <c r="DV116" t="s">
        <v>92</v>
      </c>
      <c r="DW116" t="s">
        <v>92</v>
      </c>
      <c r="DX116">
        <v>1</v>
      </c>
      <c r="DZ116" t="s">
        <v>3</v>
      </c>
      <c r="EA116" t="s">
        <v>3</v>
      </c>
      <c r="EB116" t="s">
        <v>3</v>
      </c>
      <c r="EC116" t="s">
        <v>3</v>
      </c>
      <c r="EE116">
        <v>76282301</v>
      </c>
      <c r="EF116">
        <v>40</v>
      </c>
      <c r="EG116" t="s">
        <v>20</v>
      </c>
      <c r="EH116">
        <v>0</v>
      </c>
      <c r="EI116" t="s">
        <v>3</v>
      </c>
      <c r="EJ116">
        <v>2</v>
      </c>
      <c r="EK116">
        <v>67</v>
      </c>
      <c r="EL116" t="s">
        <v>21</v>
      </c>
      <c r="EM116" t="s">
        <v>22</v>
      </c>
      <c r="EO116" t="s">
        <v>62</v>
      </c>
      <c r="EQ116">
        <v>131072</v>
      </c>
      <c r="ER116">
        <v>275.63</v>
      </c>
      <c r="ES116">
        <v>74.099999999999994</v>
      </c>
      <c r="ET116">
        <v>0.83</v>
      </c>
      <c r="EU116">
        <v>0.13</v>
      </c>
      <c r="EV116">
        <v>200.7</v>
      </c>
      <c r="EW116">
        <v>15.45</v>
      </c>
      <c r="EX116">
        <v>0</v>
      </c>
      <c r="EY116">
        <v>0</v>
      </c>
      <c r="FQ116">
        <v>0</v>
      </c>
      <c r="FR116">
        <v>0</v>
      </c>
      <c r="FS116">
        <v>0</v>
      </c>
      <c r="FX116">
        <v>97</v>
      </c>
      <c r="FY116">
        <v>51</v>
      </c>
      <c r="GA116" t="s">
        <v>3</v>
      </c>
      <c r="GD116">
        <v>1</v>
      </c>
      <c r="GF116">
        <v>425532638</v>
      </c>
      <c r="GG116">
        <v>2</v>
      </c>
      <c r="GH116">
        <v>0</v>
      </c>
      <c r="GI116">
        <v>2</v>
      </c>
      <c r="GJ116">
        <v>0</v>
      </c>
      <c r="GK116">
        <v>0</v>
      </c>
      <c r="GL116">
        <f t="shared" si="98"/>
        <v>0</v>
      </c>
      <c r="GM116">
        <f t="shared" si="99"/>
        <v>3494.57</v>
      </c>
      <c r="GN116">
        <f t="shared" si="100"/>
        <v>0</v>
      </c>
      <c r="GO116">
        <f t="shared" si="101"/>
        <v>3494.57</v>
      </c>
      <c r="GP116">
        <f t="shared" si="102"/>
        <v>0</v>
      </c>
      <c r="GR116">
        <v>0</v>
      </c>
      <c r="GS116">
        <v>7</v>
      </c>
      <c r="GT116">
        <v>0</v>
      </c>
      <c r="GU116" t="s">
        <v>3</v>
      </c>
      <c r="GV116">
        <f t="shared" si="103"/>
        <v>0</v>
      </c>
      <c r="GW116">
        <v>1</v>
      </c>
      <c r="GX116">
        <f t="shared" si="104"/>
        <v>0</v>
      </c>
      <c r="HA116">
        <v>0</v>
      </c>
      <c r="HB116">
        <v>0</v>
      </c>
      <c r="HC116">
        <f t="shared" si="105"/>
        <v>0</v>
      </c>
      <c r="HE116" t="s">
        <v>3</v>
      </c>
      <c r="HF116" t="s">
        <v>3</v>
      </c>
      <c r="HM116" t="s">
        <v>3</v>
      </c>
      <c r="HN116" t="s">
        <v>3</v>
      </c>
      <c r="HO116" t="s">
        <v>3</v>
      </c>
      <c r="HP116" t="s">
        <v>3</v>
      </c>
      <c r="HQ116" t="s">
        <v>3</v>
      </c>
      <c r="HS116">
        <v>0</v>
      </c>
      <c r="IK116">
        <v>0</v>
      </c>
    </row>
    <row r="117" spans="1:245">
      <c r="A117">
        <v>18</v>
      </c>
      <c r="B117">
        <v>1</v>
      </c>
      <c r="E117" t="s">
        <v>247</v>
      </c>
      <c r="F117" t="s">
        <v>34</v>
      </c>
      <c r="G117" t="s">
        <v>35</v>
      </c>
      <c r="H117" t="s">
        <v>32</v>
      </c>
      <c r="I117">
        <f>I116*J117</f>
        <v>10.199999999999999</v>
      </c>
      <c r="J117">
        <v>101.99999999999999</v>
      </c>
      <c r="K117">
        <v>102</v>
      </c>
      <c r="O117">
        <f t="shared" si="81"/>
        <v>0</v>
      </c>
      <c r="P117">
        <f t="shared" si="108"/>
        <v>0</v>
      </c>
      <c r="Q117">
        <f>(ROUND((ROUND(((ET117)*AV117*I117),2)*BB117),2)+ROUND((ROUND(((AE117-(EU117))*AV117*I117),2)*BS117),2))</f>
        <v>0</v>
      </c>
      <c r="R117">
        <f>(ROUND((ROUND(((EU117)*AV117*I117),2)*BS117),2)+ROUND((ROUND(((AE117-(EU117))*AV117*I117),2)*BS117),2))</f>
        <v>0</v>
      </c>
      <c r="S117">
        <f t="shared" si="83"/>
        <v>0</v>
      </c>
      <c r="T117">
        <f t="shared" si="84"/>
        <v>0</v>
      </c>
      <c r="U117">
        <f t="shared" si="85"/>
        <v>0</v>
      </c>
      <c r="V117">
        <f t="shared" si="86"/>
        <v>0</v>
      </c>
      <c r="W117">
        <f t="shared" si="87"/>
        <v>0</v>
      </c>
      <c r="X117">
        <f>(ROUND((((S117+ROUND((ROUND(((EU117)*AV117*I117),2)*BS117),2))*AT117)/100),2)+ROUND(((ROUND((ROUND(((AE117-(EU117))*AV117*I117),2)*BS117),2)*AT117)/100),2))</f>
        <v>0</v>
      </c>
      <c r="Y117">
        <f>(ROUND((((S117+ROUND((ROUND(((EU117)*AV117*I117),2)*BS117),2))*AU117)/100),2)+ROUND(((ROUND((ROUND(((AE117-(EU117))*AV117*I117),2)*BS117),2)*AU117)/100),2))</f>
        <v>0</v>
      </c>
      <c r="AA117">
        <v>76282491</v>
      </c>
      <c r="AB117">
        <f t="shared" si="88"/>
        <v>0</v>
      </c>
      <c r="AC117">
        <f>ROUND((ES117),6)</f>
        <v>0</v>
      </c>
      <c r="AD117">
        <f>ROUND((((ET117)-(EU117))+AE117),6)</f>
        <v>0</v>
      </c>
      <c r="AE117">
        <f>ROUND((EU117),6)</f>
        <v>0</v>
      </c>
      <c r="AF117">
        <f>ROUND((EV117),6)</f>
        <v>0</v>
      </c>
      <c r="AG117">
        <f t="shared" si="89"/>
        <v>0</v>
      </c>
      <c r="AH117">
        <f>(EW117)</f>
        <v>0</v>
      </c>
      <c r="AI117">
        <f>(EX117)</f>
        <v>0</v>
      </c>
      <c r="AJ117">
        <f t="shared" si="90"/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97</v>
      </c>
      <c r="AU117">
        <v>51</v>
      </c>
      <c r="AV117">
        <v>1</v>
      </c>
      <c r="AW117">
        <v>1</v>
      </c>
      <c r="AZ117">
        <v>1</v>
      </c>
      <c r="BA117">
        <v>1</v>
      </c>
      <c r="BB117">
        <v>1</v>
      </c>
      <c r="BC117">
        <v>1</v>
      </c>
      <c r="BD117" t="s">
        <v>3</v>
      </c>
      <c r="BE117" t="s">
        <v>3</v>
      </c>
      <c r="BF117" t="s">
        <v>3</v>
      </c>
      <c r="BG117" t="s">
        <v>3</v>
      </c>
      <c r="BH117">
        <v>3</v>
      </c>
      <c r="BI117">
        <v>2</v>
      </c>
      <c r="BJ117" t="s">
        <v>3</v>
      </c>
      <c r="BM117">
        <v>67</v>
      </c>
      <c r="BN117">
        <v>0</v>
      </c>
      <c r="BO117" t="s">
        <v>3</v>
      </c>
      <c r="BP117">
        <v>0</v>
      </c>
      <c r="BQ117">
        <v>40</v>
      </c>
      <c r="BR117">
        <v>0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 t="s">
        <v>3</v>
      </c>
      <c r="BZ117">
        <v>97</v>
      </c>
      <c r="CA117">
        <v>51</v>
      </c>
      <c r="CB117" t="s">
        <v>3</v>
      </c>
      <c r="CE117">
        <v>1566</v>
      </c>
      <c r="CF117">
        <v>0</v>
      </c>
      <c r="CG117">
        <v>0</v>
      </c>
      <c r="CM117">
        <v>0</v>
      </c>
      <c r="CN117" t="s">
        <v>454</v>
      </c>
      <c r="CO117">
        <v>0</v>
      </c>
      <c r="CP117">
        <f t="shared" si="91"/>
        <v>0</v>
      </c>
      <c r="CQ117">
        <f t="shared" si="109"/>
        <v>0</v>
      </c>
      <c r="CR117">
        <f>(ROUND((ROUND(((ET117)*AV117*1),2)*BB117),2)+ROUND((ROUND(((AE117-(EU117))*AV117*1),2)*BS117),2))</f>
        <v>0</v>
      </c>
      <c r="CS117">
        <f>(ROUND((ROUND(((EU117)*AV117*1),2)*BS117),2)+ROUND((ROUND(((AE117-(EU117))*AV117*1),2)*BS117),2))</f>
        <v>0</v>
      </c>
      <c r="CT117">
        <f t="shared" si="93"/>
        <v>0</v>
      </c>
      <c r="CU117">
        <f t="shared" si="94"/>
        <v>0</v>
      </c>
      <c r="CV117">
        <f t="shared" si="95"/>
        <v>0</v>
      </c>
      <c r="CW117">
        <f t="shared" si="96"/>
        <v>0</v>
      </c>
      <c r="CX117">
        <f t="shared" si="97"/>
        <v>0</v>
      </c>
      <c r="CY117">
        <f>(ROUND((((S117+ROUND((ROUND(((EU117)*AV117*1),2)*BS117),2))*AT117)/100),2)+ROUND(((ROUND((ROUND(((AE117-(EU117))*AV117*1),2)*BS117),2)*AT117)/100),2))</f>
        <v>0</v>
      </c>
      <c r="CZ117">
        <f>(ROUND((((S117+ROUND((ROUND(((EU117)*AV117*1),2)*BS117),2))*AU117)/100),2)+ROUND(((ROUND((ROUND(((AE117-(EU117))*AV117*1),2)*BS117),2)*AU117)/100),2))</f>
        <v>0</v>
      </c>
      <c r="DC117" t="s">
        <v>3</v>
      </c>
      <c r="DD117" t="s">
        <v>3</v>
      </c>
      <c r="DE117" t="s">
        <v>3</v>
      </c>
      <c r="DF117" t="s">
        <v>3</v>
      </c>
      <c r="DG117" t="s">
        <v>3</v>
      </c>
      <c r="DH117" t="s">
        <v>3</v>
      </c>
      <c r="DI117" t="s">
        <v>3</v>
      </c>
      <c r="DJ117" t="s">
        <v>3</v>
      </c>
      <c r="DK117" t="s">
        <v>3</v>
      </c>
      <c r="DL117" t="s">
        <v>3</v>
      </c>
      <c r="DM117" t="s">
        <v>3</v>
      </c>
      <c r="DN117">
        <v>0</v>
      </c>
      <c r="DO117">
        <v>0</v>
      </c>
      <c r="DP117">
        <v>1</v>
      </c>
      <c r="DQ117">
        <v>1</v>
      </c>
      <c r="DU117">
        <v>1010</v>
      </c>
      <c r="DV117" t="s">
        <v>32</v>
      </c>
      <c r="DW117" t="s">
        <v>32</v>
      </c>
      <c r="DX117">
        <v>1</v>
      </c>
      <c r="DZ117" t="s">
        <v>3</v>
      </c>
      <c r="EA117" t="s">
        <v>3</v>
      </c>
      <c r="EB117" t="s">
        <v>3</v>
      </c>
      <c r="EC117" t="s">
        <v>3</v>
      </c>
      <c r="EE117">
        <v>76282301</v>
      </c>
      <c r="EF117">
        <v>40</v>
      </c>
      <c r="EG117" t="s">
        <v>20</v>
      </c>
      <c r="EH117">
        <v>0</v>
      </c>
      <c r="EI117" t="s">
        <v>3</v>
      </c>
      <c r="EJ117">
        <v>2</v>
      </c>
      <c r="EK117">
        <v>67</v>
      </c>
      <c r="EL117" t="s">
        <v>21</v>
      </c>
      <c r="EM117" t="s">
        <v>22</v>
      </c>
      <c r="EO117" t="s">
        <v>62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FQ117">
        <v>0</v>
      </c>
      <c r="FR117">
        <v>0</v>
      </c>
      <c r="FS117">
        <v>0</v>
      </c>
      <c r="FX117">
        <v>97</v>
      </c>
      <c r="FY117">
        <v>51</v>
      </c>
      <c r="GA117" t="s">
        <v>3</v>
      </c>
      <c r="GD117">
        <v>1</v>
      </c>
      <c r="GF117">
        <v>-1431231368</v>
      </c>
      <c r="GG117">
        <v>2</v>
      </c>
      <c r="GH117">
        <v>0</v>
      </c>
      <c r="GI117">
        <v>-2</v>
      </c>
      <c r="GJ117">
        <v>0</v>
      </c>
      <c r="GK117">
        <v>0</v>
      </c>
      <c r="GL117">
        <f t="shared" si="98"/>
        <v>0</v>
      </c>
      <c r="GM117">
        <f t="shared" si="99"/>
        <v>0</v>
      </c>
      <c r="GN117">
        <f t="shared" si="100"/>
        <v>0</v>
      </c>
      <c r="GO117">
        <f t="shared" si="101"/>
        <v>0</v>
      </c>
      <c r="GP117">
        <f t="shared" si="102"/>
        <v>0</v>
      </c>
      <c r="GR117">
        <v>0</v>
      </c>
      <c r="GS117">
        <v>0</v>
      </c>
      <c r="GT117">
        <v>0</v>
      </c>
      <c r="GU117" t="s">
        <v>3</v>
      </c>
      <c r="GV117">
        <f t="shared" si="103"/>
        <v>0</v>
      </c>
      <c r="GW117">
        <v>1</v>
      </c>
      <c r="GX117">
        <f t="shared" si="104"/>
        <v>0</v>
      </c>
      <c r="HA117">
        <v>0</v>
      </c>
      <c r="HB117">
        <v>0</v>
      </c>
      <c r="HC117">
        <f t="shared" si="105"/>
        <v>0</v>
      </c>
      <c r="HE117" t="s">
        <v>3</v>
      </c>
      <c r="HF117" t="s">
        <v>3</v>
      </c>
      <c r="HM117" t="s">
        <v>60</v>
      </c>
      <c r="HN117" t="s">
        <v>3</v>
      </c>
      <c r="HO117" t="s">
        <v>3</v>
      </c>
      <c r="HP117" t="s">
        <v>3</v>
      </c>
      <c r="HQ117" t="s">
        <v>3</v>
      </c>
      <c r="HS117">
        <v>0</v>
      </c>
      <c r="IK117">
        <v>0</v>
      </c>
    </row>
    <row r="118" spans="1:245">
      <c r="A118">
        <v>17</v>
      </c>
      <c r="B118">
        <v>1</v>
      </c>
      <c r="E118" t="s">
        <v>248</v>
      </c>
      <c r="F118" t="s">
        <v>249</v>
      </c>
      <c r="G118" t="s">
        <v>250</v>
      </c>
      <c r="H118" t="s">
        <v>251</v>
      </c>
      <c r="I118">
        <v>1</v>
      </c>
      <c r="J118">
        <v>0</v>
      </c>
      <c r="K118">
        <v>1</v>
      </c>
      <c r="O118">
        <f t="shared" si="81"/>
        <v>7068.15</v>
      </c>
      <c r="P118">
        <f t="shared" si="108"/>
        <v>695.68</v>
      </c>
      <c r="Q118">
        <f>(ROUND((ROUND((((ET118*1.2))*AV118*I118),2)*BB118),2)+ROUND((ROUND(((AE118-((EU118*1.2)))*AV118*I118),2)*BS118),2))</f>
        <v>409.33</v>
      </c>
      <c r="R118">
        <f>(ROUND((ROUND((((EU118*1.2))*AV118*I118),2)*BS118),2)+ROUND((ROUND(((AE118-((EU118*1.2)))*AV118*I118),2)*BS118),2))</f>
        <v>128.80000000000001</v>
      </c>
      <c r="S118">
        <f t="shared" si="83"/>
        <v>5963.14</v>
      </c>
      <c r="T118">
        <f t="shared" si="84"/>
        <v>0</v>
      </c>
      <c r="U118">
        <f t="shared" si="85"/>
        <v>9</v>
      </c>
      <c r="V118">
        <f t="shared" si="86"/>
        <v>0</v>
      </c>
      <c r="W118">
        <f t="shared" si="87"/>
        <v>0</v>
      </c>
      <c r="X118">
        <f>(ROUND((((S118+ROUND((ROUND((((EU118*1.2))*AV118*I118),2)*BS118),2))*AT118)/100),2)+ROUND(((ROUND((ROUND(((AE118-((EU118*1.2)))*AV118*I118),2)*BS118),2)*AT118)/100),2))</f>
        <v>6640.21</v>
      </c>
      <c r="Y118">
        <f>(ROUND((((S118+ROUND((ROUND((((EU118*1.2))*AV118*I118),2)*BS118),2))*AU118)/100),2)+ROUND(((ROUND((ROUND(((AE118-((EU118*1.2)))*AV118*I118),2)*BS118),2)*AU118)/100),2))</f>
        <v>3716.08</v>
      </c>
      <c r="AA118">
        <v>76282491</v>
      </c>
      <c r="AB118">
        <f t="shared" si="88"/>
        <v>228.07599999999999</v>
      </c>
      <c r="AC118">
        <f>ROUND(((ES118*1)),6)</f>
        <v>98.26</v>
      </c>
      <c r="AD118">
        <f>ROUND(((((ET118*1.2))-((EU118*1.2)))+AE118),6)</f>
        <v>26.58</v>
      </c>
      <c r="AE118">
        <f>ROUND(((EU118*1.2)),6)</f>
        <v>2.2320000000000002</v>
      </c>
      <c r="AF118">
        <f>ROUND(((EV118*1.2)),6)</f>
        <v>103.236</v>
      </c>
      <c r="AG118">
        <f t="shared" si="89"/>
        <v>0</v>
      </c>
      <c r="AH118">
        <f>((EW118*1.2))</f>
        <v>9</v>
      </c>
      <c r="AI118">
        <f>((EX118*1.2))</f>
        <v>0</v>
      </c>
      <c r="AJ118">
        <f t="shared" si="90"/>
        <v>0</v>
      </c>
      <c r="AK118">
        <v>206.44</v>
      </c>
      <c r="AL118">
        <v>98.26</v>
      </c>
      <c r="AM118">
        <v>22.15</v>
      </c>
      <c r="AN118">
        <v>1.86</v>
      </c>
      <c r="AO118">
        <v>86.03</v>
      </c>
      <c r="AP118">
        <v>0</v>
      </c>
      <c r="AQ118">
        <v>7.5</v>
      </c>
      <c r="AR118">
        <v>0</v>
      </c>
      <c r="AS118">
        <v>0</v>
      </c>
      <c r="AT118">
        <v>109</v>
      </c>
      <c r="AU118">
        <v>61</v>
      </c>
      <c r="AV118">
        <v>1</v>
      </c>
      <c r="AW118">
        <v>1</v>
      </c>
      <c r="AZ118">
        <v>1</v>
      </c>
      <c r="BA118">
        <v>57.76</v>
      </c>
      <c r="BB118">
        <v>15.4</v>
      </c>
      <c r="BC118">
        <v>7.08</v>
      </c>
      <c r="BD118" t="s">
        <v>3</v>
      </c>
      <c r="BE118" t="s">
        <v>3</v>
      </c>
      <c r="BF118" t="s">
        <v>3</v>
      </c>
      <c r="BG118" t="s">
        <v>3</v>
      </c>
      <c r="BH118">
        <v>0</v>
      </c>
      <c r="BI118">
        <v>1</v>
      </c>
      <c r="BJ118" t="s">
        <v>252</v>
      </c>
      <c r="BM118">
        <v>25</v>
      </c>
      <c r="BN118">
        <v>0</v>
      </c>
      <c r="BO118" t="s">
        <v>249</v>
      </c>
      <c r="BP118">
        <v>1</v>
      </c>
      <c r="BQ118">
        <v>30</v>
      </c>
      <c r="BR118">
        <v>0</v>
      </c>
      <c r="BS118">
        <v>57.76</v>
      </c>
      <c r="BT118">
        <v>1</v>
      </c>
      <c r="BU118">
        <v>1</v>
      </c>
      <c r="BV118">
        <v>1</v>
      </c>
      <c r="BW118">
        <v>1</v>
      </c>
      <c r="BX118">
        <v>1</v>
      </c>
      <c r="BY118" t="s">
        <v>3</v>
      </c>
      <c r="BZ118">
        <v>109</v>
      </c>
      <c r="CA118">
        <v>61</v>
      </c>
      <c r="CB118" t="s">
        <v>3</v>
      </c>
      <c r="CE118">
        <v>1566</v>
      </c>
      <c r="CF118">
        <v>0</v>
      </c>
      <c r="CG118">
        <v>0</v>
      </c>
      <c r="CM118">
        <v>0</v>
      </c>
      <c r="CN118" t="s">
        <v>454</v>
      </c>
      <c r="CO118">
        <v>0</v>
      </c>
      <c r="CP118">
        <f t="shared" si="91"/>
        <v>7068.1500000000005</v>
      </c>
      <c r="CQ118">
        <f t="shared" si="109"/>
        <v>695.68</v>
      </c>
      <c r="CR118">
        <f>(ROUND((ROUND((((ET118*1.2))*AV118*1),2)*BB118),2)+ROUND((ROUND(((AE118-((EU118*1.2)))*AV118*1),2)*BS118),2))</f>
        <v>409.33</v>
      </c>
      <c r="CS118">
        <f>(ROUND((ROUND((((EU118*1.2))*AV118*1),2)*BS118),2)+ROUND((ROUND(((AE118-((EU118*1.2)))*AV118*1),2)*BS118),2))</f>
        <v>128.80000000000001</v>
      </c>
      <c r="CT118">
        <f t="shared" si="93"/>
        <v>5963.14</v>
      </c>
      <c r="CU118">
        <f t="shared" si="94"/>
        <v>0</v>
      </c>
      <c r="CV118">
        <f t="shared" si="95"/>
        <v>9</v>
      </c>
      <c r="CW118">
        <f t="shared" si="96"/>
        <v>0</v>
      </c>
      <c r="CX118">
        <f t="shared" si="97"/>
        <v>0</v>
      </c>
      <c r="CY118">
        <f>(ROUND((((S118+ROUND((ROUND((((EU118*1.2))*AV118*1),2)*BS118),2))*AT118)/100),2)+ROUND(((ROUND((ROUND(((AE118-((EU118*1.2)))*AV118*1),2)*BS118),2)*AT118)/100),2))</f>
        <v>6640.21</v>
      </c>
      <c r="CZ118">
        <f>(ROUND((((S118+ROUND((ROUND((((EU118*1.2))*AV118*1),2)*BS118),2))*AU118)/100),2)+ROUND(((ROUND((ROUND(((AE118-((EU118*1.2)))*AV118*1),2)*BS118),2)*AU118)/100),2))</f>
        <v>3716.08</v>
      </c>
      <c r="DB118">
        <v>12</v>
      </c>
      <c r="DC118" t="s">
        <v>3</v>
      </c>
      <c r="DD118" t="s">
        <v>60</v>
      </c>
      <c r="DE118" t="s">
        <v>61</v>
      </c>
      <c r="DF118" t="s">
        <v>61</v>
      </c>
      <c r="DG118" t="s">
        <v>61</v>
      </c>
      <c r="DH118" t="s">
        <v>3</v>
      </c>
      <c r="DI118" t="s">
        <v>61</v>
      </c>
      <c r="DJ118" t="s">
        <v>61</v>
      </c>
      <c r="DK118" t="s">
        <v>3</v>
      </c>
      <c r="DL118" t="s">
        <v>3</v>
      </c>
      <c r="DM118" t="s">
        <v>3</v>
      </c>
      <c r="DN118">
        <v>0</v>
      </c>
      <c r="DO118">
        <v>0</v>
      </c>
      <c r="DP118">
        <v>1</v>
      </c>
      <c r="DQ118">
        <v>1</v>
      </c>
      <c r="DU118">
        <v>1013</v>
      </c>
      <c r="DV118" t="s">
        <v>251</v>
      </c>
      <c r="DW118" t="s">
        <v>251</v>
      </c>
      <c r="DX118">
        <v>1</v>
      </c>
      <c r="DZ118" t="s">
        <v>3</v>
      </c>
      <c r="EA118" t="s">
        <v>3</v>
      </c>
      <c r="EB118" t="s">
        <v>3</v>
      </c>
      <c r="EC118" t="s">
        <v>3</v>
      </c>
      <c r="EE118">
        <v>76282257</v>
      </c>
      <c r="EF118">
        <v>30</v>
      </c>
      <c r="EG118" t="s">
        <v>253</v>
      </c>
      <c r="EH118">
        <v>0</v>
      </c>
      <c r="EI118" t="s">
        <v>3</v>
      </c>
      <c r="EJ118">
        <v>1</v>
      </c>
      <c r="EK118">
        <v>25</v>
      </c>
      <c r="EL118" t="s">
        <v>254</v>
      </c>
      <c r="EM118" t="s">
        <v>255</v>
      </c>
      <c r="EO118" t="s">
        <v>62</v>
      </c>
      <c r="EQ118">
        <v>131072</v>
      </c>
      <c r="ER118">
        <v>206.44</v>
      </c>
      <c r="ES118">
        <v>98.26</v>
      </c>
      <c r="ET118">
        <v>22.15</v>
      </c>
      <c r="EU118">
        <v>1.86</v>
      </c>
      <c r="EV118">
        <v>86.03</v>
      </c>
      <c r="EW118">
        <v>7.5</v>
      </c>
      <c r="EX118">
        <v>0</v>
      </c>
      <c r="EY118">
        <v>0</v>
      </c>
      <c r="FQ118">
        <v>0</v>
      </c>
      <c r="FR118">
        <v>0</v>
      </c>
      <c r="FS118">
        <v>0</v>
      </c>
      <c r="FX118">
        <v>109</v>
      </c>
      <c r="FY118">
        <v>61</v>
      </c>
      <c r="GA118" t="s">
        <v>3</v>
      </c>
      <c r="GD118">
        <v>1</v>
      </c>
      <c r="GF118">
        <v>238680902</v>
      </c>
      <c r="GG118">
        <v>2</v>
      </c>
      <c r="GH118">
        <v>0</v>
      </c>
      <c r="GI118">
        <v>2</v>
      </c>
      <c r="GJ118">
        <v>0</v>
      </c>
      <c r="GK118">
        <v>0</v>
      </c>
      <c r="GL118">
        <f t="shared" si="98"/>
        <v>0</v>
      </c>
      <c r="GM118">
        <f t="shared" si="99"/>
        <v>17424.439999999999</v>
      </c>
      <c r="GN118">
        <f t="shared" si="100"/>
        <v>17424.439999999999</v>
      </c>
      <c r="GO118">
        <f t="shared" si="101"/>
        <v>0</v>
      </c>
      <c r="GP118">
        <f t="shared" si="102"/>
        <v>0</v>
      </c>
      <c r="GR118">
        <v>0</v>
      </c>
      <c r="GS118">
        <v>7</v>
      </c>
      <c r="GT118">
        <v>0</v>
      </c>
      <c r="GU118" t="s">
        <v>3</v>
      </c>
      <c r="GV118">
        <f t="shared" si="103"/>
        <v>0</v>
      </c>
      <c r="GW118">
        <v>1</v>
      </c>
      <c r="GX118">
        <f t="shared" si="104"/>
        <v>0</v>
      </c>
      <c r="HA118">
        <v>0</v>
      </c>
      <c r="HB118">
        <v>0</v>
      </c>
      <c r="HC118">
        <f t="shared" si="105"/>
        <v>0</v>
      </c>
      <c r="HE118" t="s">
        <v>3</v>
      </c>
      <c r="HF118" t="s">
        <v>3</v>
      </c>
      <c r="HM118" t="s">
        <v>3</v>
      </c>
      <c r="HN118" t="s">
        <v>3</v>
      </c>
      <c r="HO118" t="s">
        <v>3</v>
      </c>
      <c r="HP118" t="s">
        <v>3</v>
      </c>
      <c r="HQ118" t="s">
        <v>3</v>
      </c>
      <c r="HS118">
        <v>0</v>
      </c>
      <c r="IK118">
        <v>0</v>
      </c>
    </row>
    <row r="119" spans="1:245">
      <c r="A119">
        <v>18</v>
      </c>
      <c r="B119">
        <v>1</v>
      </c>
      <c r="E119" t="s">
        <v>256</v>
      </c>
      <c r="F119" t="s">
        <v>257</v>
      </c>
      <c r="G119" t="s">
        <v>258</v>
      </c>
      <c r="H119" t="s">
        <v>32</v>
      </c>
      <c r="I119">
        <f>I118*J119</f>
        <v>1</v>
      </c>
      <c r="J119">
        <v>1</v>
      </c>
      <c r="K119">
        <v>1</v>
      </c>
      <c r="O119">
        <f t="shared" si="81"/>
        <v>0</v>
      </c>
      <c r="P119">
        <f t="shared" si="108"/>
        <v>0</v>
      </c>
      <c r="Q119">
        <f t="shared" ref="Q119:Q124" si="122">(ROUND((ROUND(((ET119)*AV119*I119),2)*BB119),2)+ROUND((ROUND(((AE119-(EU119))*AV119*I119),2)*BS119),2))</f>
        <v>0</v>
      </c>
      <c r="R119">
        <f t="shared" ref="R119:R124" si="123">(ROUND((ROUND(((EU119)*AV119*I119),2)*BS119),2)+ROUND((ROUND(((AE119-(EU119))*AV119*I119),2)*BS119),2))</f>
        <v>0</v>
      </c>
      <c r="S119">
        <f t="shared" si="83"/>
        <v>0</v>
      </c>
      <c r="T119">
        <f t="shared" si="84"/>
        <v>0</v>
      </c>
      <c r="U119">
        <f t="shared" si="85"/>
        <v>0</v>
      </c>
      <c r="V119">
        <f t="shared" si="86"/>
        <v>0</v>
      </c>
      <c r="W119">
        <f t="shared" si="87"/>
        <v>0</v>
      </c>
      <c r="X119">
        <f t="shared" ref="X119:X124" si="124">(ROUND((((S119+ROUND((ROUND(((EU119)*AV119*I119),2)*BS119),2))*AT119)/100),2)+ROUND(((ROUND((ROUND(((AE119-(EU119))*AV119*I119),2)*BS119),2)*AT119)/100),2))</f>
        <v>0</v>
      </c>
      <c r="Y119">
        <f t="shared" ref="Y119:Y124" si="125">(ROUND((((S119+ROUND((ROUND(((EU119)*AV119*I119),2)*BS119),2))*AU119)/100),2)+ROUND(((ROUND((ROUND(((AE119-(EU119))*AV119*I119),2)*BS119),2)*AU119)/100),2))</f>
        <v>0</v>
      </c>
      <c r="AA119">
        <v>76282491</v>
      </c>
      <c r="AB119">
        <f t="shared" si="88"/>
        <v>0</v>
      </c>
      <c r="AC119">
        <f t="shared" ref="AC119:AC124" si="126">ROUND((ES119),6)</f>
        <v>0</v>
      </c>
      <c r="AD119">
        <f t="shared" ref="AD119:AD124" si="127">ROUND((((ET119)-(EU119))+AE119),6)</f>
        <v>0</v>
      </c>
      <c r="AE119">
        <f t="shared" ref="AE119:AF124" si="128">ROUND((EU119),6)</f>
        <v>0</v>
      </c>
      <c r="AF119">
        <f t="shared" si="128"/>
        <v>0</v>
      </c>
      <c r="AG119">
        <f t="shared" si="89"/>
        <v>0</v>
      </c>
      <c r="AH119">
        <f t="shared" ref="AH119:AI124" si="129">(EW119)</f>
        <v>0</v>
      </c>
      <c r="AI119">
        <f t="shared" si="129"/>
        <v>0</v>
      </c>
      <c r="AJ119">
        <f t="shared" si="90"/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109</v>
      </c>
      <c r="AU119">
        <v>61</v>
      </c>
      <c r="AV119">
        <v>1</v>
      </c>
      <c r="AW119">
        <v>1</v>
      </c>
      <c r="AZ119">
        <v>1</v>
      </c>
      <c r="BA119">
        <v>1</v>
      </c>
      <c r="BB119">
        <v>1</v>
      </c>
      <c r="BC119">
        <v>1</v>
      </c>
      <c r="BD119" t="s">
        <v>3</v>
      </c>
      <c r="BE119" t="s">
        <v>3</v>
      </c>
      <c r="BF119" t="s">
        <v>3</v>
      </c>
      <c r="BG119" t="s">
        <v>3</v>
      </c>
      <c r="BH119">
        <v>3</v>
      </c>
      <c r="BI119">
        <v>1</v>
      </c>
      <c r="BJ119" t="s">
        <v>3</v>
      </c>
      <c r="BM119">
        <v>25</v>
      </c>
      <c r="BN119">
        <v>0</v>
      </c>
      <c r="BO119" t="s">
        <v>3</v>
      </c>
      <c r="BP119">
        <v>0</v>
      </c>
      <c r="BQ119">
        <v>30</v>
      </c>
      <c r="BR119">
        <v>0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 t="s">
        <v>3</v>
      </c>
      <c r="BZ119">
        <v>109</v>
      </c>
      <c r="CA119">
        <v>61</v>
      </c>
      <c r="CB119" t="s">
        <v>3</v>
      </c>
      <c r="CE119">
        <v>1566</v>
      </c>
      <c r="CF119">
        <v>0</v>
      </c>
      <c r="CG119">
        <v>0</v>
      </c>
      <c r="CM119">
        <v>0</v>
      </c>
      <c r="CN119" t="s">
        <v>454</v>
      </c>
      <c r="CO119">
        <v>0</v>
      </c>
      <c r="CP119">
        <f t="shared" si="91"/>
        <v>0</v>
      </c>
      <c r="CQ119">
        <f t="shared" si="109"/>
        <v>0</v>
      </c>
      <c r="CR119">
        <f t="shared" ref="CR119:CR124" si="130">(ROUND((ROUND(((ET119)*AV119*1),2)*BB119),2)+ROUND((ROUND(((AE119-(EU119))*AV119*1),2)*BS119),2))</f>
        <v>0</v>
      </c>
      <c r="CS119">
        <f t="shared" ref="CS119:CS124" si="131">(ROUND((ROUND(((EU119)*AV119*1),2)*BS119),2)+ROUND((ROUND(((AE119-(EU119))*AV119*1),2)*BS119),2))</f>
        <v>0</v>
      </c>
      <c r="CT119">
        <f t="shared" si="93"/>
        <v>0</v>
      </c>
      <c r="CU119">
        <f t="shared" si="94"/>
        <v>0</v>
      </c>
      <c r="CV119">
        <f t="shared" si="95"/>
        <v>0</v>
      </c>
      <c r="CW119">
        <f t="shared" si="96"/>
        <v>0</v>
      </c>
      <c r="CX119">
        <f t="shared" si="97"/>
        <v>0</v>
      </c>
      <c r="CY119">
        <f t="shared" ref="CY119:CY124" si="132">(ROUND((((S119+ROUND((ROUND(((EU119)*AV119*1),2)*BS119),2))*AT119)/100),2)+ROUND(((ROUND((ROUND(((AE119-(EU119))*AV119*1),2)*BS119),2)*AT119)/100),2))</f>
        <v>0</v>
      </c>
      <c r="CZ119">
        <f t="shared" ref="CZ119:CZ124" si="133">(ROUND((((S119+ROUND((ROUND(((EU119)*AV119*1),2)*BS119),2))*AU119)/100),2)+ROUND(((ROUND((ROUND(((AE119-(EU119))*AV119*1),2)*BS119),2)*AU119)/100),2))</f>
        <v>0</v>
      </c>
      <c r="DC119" t="s">
        <v>3</v>
      </c>
      <c r="DD119" t="s">
        <v>3</v>
      </c>
      <c r="DE119" t="s">
        <v>3</v>
      </c>
      <c r="DF119" t="s">
        <v>3</v>
      </c>
      <c r="DG119" t="s">
        <v>3</v>
      </c>
      <c r="DH119" t="s">
        <v>3</v>
      </c>
      <c r="DI119" t="s">
        <v>3</v>
      </c>
      <c r="DJ119" t="s">
        <v>3</v>
      </c>
      <c r="DK119" t="s">
        <v>3</v>
      </c>
      <c r="DL119" t="s">
        <v>3</v>
      </c>
      <c r="DM119" t="s">
        <v>3</v>
      </c>
      <c r="DN119">
        <v>0</v>
      </c>
      <c r="DO119">
        <v>0</v>
      </c>
      <c r="DP119">
        <v>1</v>
      </c>
      <c r="DQ119">
        <v>1</v>
      </c>
      <c r="DU119">
        <v>1010</v>
      </c>
      <c r="DV119" t="s">
        <v>32</v>
      </c>
      <c r="DW119" t="s">
        <v>32</v>
      </c>
      <c r="DX119">
        <v>1</v>
      </c>
      <c r="DZ119" t="s">
        <v>3</v>
      </c>
      <c r="EA119" t="s">
        <v>3</v>
      </c>
      <c r="EB119" t="s">
        <v>3</v>
      </c>
      <c r="EC119" t="s">
        <v>3</v>
      </c>
      <c r="EE119">
        <v>76282257</v>
      </c>
      <c r="EF119">
        <v>30</v>
      </c>
      <c r="EG119" t="s">
        <v>253</v>
      </c>
      <c r="EH119">
        <v>0</v>
      </c>
      <c r="EI119" t="s">
        <v>3</v>
      </c>
      <c r="EJ119">
        <v>1</v>
      </c>
      <c r="EK119">
        <v>25</v>
      </c>
      <c r="EL119" t="s">
        <v>254</v>
      </c>
      <c r="EM119" t="s">
        <v>255</v>
      </c>
      <c r="EO119" t="s">
        <v>62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FQ119">
        <v>0</v>
      </c>
      <c r="FR119">
        <v>0</v>
      </c>
      <c r="FS119">
        <v>0</v>
      </c>
      <c r="FX119">
        <v>109</v>
      </c>
      <c r="FY119">
        <v>61</v>
      </c>
      <c r="GA119" t="s">
        <v>3</v>
      </c>
      <c r="GD119">
        <v>1</v>
      </c>
      <c r="GF119">
        <v>-444519843</v>
      </c>
      <c r="GG119">
        <v>2</v>
      </c>
      <c r="GH119">
        <v>0</v>
      </c>
      <c r="GI119">
        <v>-2</v>
      </c>
      <c r="GJ119">
        <v>0</v>
      </c>
      <c r="GK119">
        <v>0</v>
      </c>
      <c r="GL119">
        <f t="shared" si="98"/>
        <v>0</v>
      </c>
      <c r="GM119">
        <f t="shared" si="99"/>
        <v>0</v>
      </c>
      <c r="GN119">
        <f t="shared" si="100"/>
        <v>0</v>
      </c>
      <c r="GO119">
        <f t="shared" si="101"/>
        <v>0</v>
      </c>
      <c r="GP119">
        <f t="shared" si="102"/>
        <v>0</v>
      </c>
      <c r="GR119">
        <v>0</v>
      </c>
      <c r="GS119">
        <v>0</v>
      </c>
      <c r="GT119">
        <v>0</v>
      </c>
      <c r="GU119" t="s">
        <v>3</v>
      </c>
      <c r="GV119">
        <f t="shared" si="103"/>
        <v>0</v>
      </c>
      <c r="GW119">
        <v>1</v>
      </c>
      <c r="GX119">
        <f t="shared" si="104"/>
        <v>0</v>
      </c>
      <c r="HA119">
        <v>0</v>
      </c>
      <c r="HB119">
        <v>0</v>
      </c>
      <c r="HC119">
        <f t="shared" si="105"/>
        <v>0</v>
      </c>
      <c r="HE119" t="s">
        <v>3</v>
      </c>
      <c r="HF119" t="s">
        <v>3</v>
      </c>
      <c r="HM119" t="s">
        <v>60</v>
      </c>
      <c r="HN119" t="s">
        <v>3</v>
      </c>
      <c r="HO119" t="s">
        <v>3</v>
      </c>
      <c r="HP119" t="s">
        <v>3</v>
      </c>
      <c r="HQ119" t="s">
        <v>3</v>
      </c>
      <c r="HS119">
        <v>0</v>
      </c>
      <c r="IK119">
        <v>0</v>
      </c>
    </row>
    <row r="120" spans="1:245">
      <c r="A120">
        <v>17</v>
      </c>
      <c r="B120">
        <v>1</v>
      </c>
      <c r="E120" t="s">
        <v>259</v>
      </c>
      <c r="F120" t="s">
        <v>51</v>
      </c>
      <c r="G120" t="s">
        <v>260</v>
      </c>
      <c r="H120" t="s">
        <v>32</v>
      </c>
      <c r="I120">
        <v>1</v>
      </c>
      <c r="J120">
        <v>0</v>
      </c>
      <c r="K120">
        <v>1</v>
      </c>
      <c r="O120">
        <f t="shared" si="81"/>
        <v>18142.12</v>
      </c>
      <c r="P120">
        <f>ROUND((ROUND((AC120*I120),2)*BC120),2)</f>
        <v>18142.12</v>
      </c>
      <c r="Q120">
        <f t="shared" si="122"/>
        <v>0</v>
      </c>
      <c r="R120">
        <f t="shared" si="123"/>
        <v>0</v>
      </c>
      <c r="S120">
        <f t="shared" si="83"/>
        <v>0</v>
      </c>
      <c r="T120">
        <f t="shared" si="84"/>
        <v>0</v>
      </c>
      <c r="U120">
        <f t="shared" si="85"/>
        <v>0</v>
      </c>
      <c r="V120">
        <f t="shared" si="86"/>
        <v>0</v>
      </c>
      <c r="W120">
        <f t="shared" si="87"/>
        <v>0</v>
      </c>
      <c r="X120">
        <f t="shared" si="124"/>
        <v>0</v>
      </c>
      <c r="Y120">
        <f t="shared" si="125"/>
        <v>0</v>
      </c>
      <c r="AA120">
        <v>76282491</v>
      </c>
      <c r="AB120">
        <f t="shared" si="88"/>
        <v>18142.12</v>
      </c>
      <c r="AC120">
        <f t="shared" si="126"/>
        <v>18142.12</v>
      </c>
      <c r="AD120">
        <f t="shared" si="127"/>
        <v>0</v>
      </c>
      <c r="AE120">
        <f t="shared" si="128"/>
        <v>0</v>
      </c>
      <c r="AF120">
        <f t="shared" si="128"/>
        <v>0</v>
      </c>
      <c r="AG120">
        <f t="shared" si="89"/>
        <v>0</v>
      </c>
      <c r="AH120">
        <f t="shared" si="129"/>
        <v>0</v>
      </c>
      <c r="AI120">
        <f t="shared" si="129"/>
        <v>0</v>
      </c>
      <c r="AJ120">
        <f t="shared" si="90"/>
        <v>0</v>
      </c>
      <c r="AK120">
        <v>18142.12</v>
      </c>
      <c r="AL120">
        <v>18142.12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</v>
      </c>
      <c r="AW120">
        <v>1</v>
      </c>
      <c r="AZ120">
        <v>1</v>
      </c>
      <c r="BA120">
        <v>1</v>
      </c>
      <c r="BB120">
        <v>1</v>
      </c>
      <c r="BC120">
        <v>1</v>
      </c>
      <c r="BD120" t="s">
        <v>3</v>
      </c>
      <c r="BE120" t="s">
        <v>3</v>
      </c>
      <c r="BF120" t="s">
        <v>3</v>
      </c>
      <c r="BG120" t="s">
        <v>3</v>
      </c>
      <c r="BH120">
        <v>3</v>
      </c>
      <c r="BI120">
        <v>3</v>
      </c>
      <c r="BJ120" t="s">
        <v>3</v>
      </c>
      <c r="BM120">
        <v>746</v>
      </c>
      <c r="BN120">
        <v>0</v>
      </c>
      <c r="BO120" t="s">
        <v>3</v>
      </c>
      <c r="BP120">
        <v>0</v>
      </c>
      <c r="BQ120">
        <v>130</v>
      </c>
      <c r="BR120">
        <v>0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 t="s">
        <v>3</v>
      </c>
      <c r="BZ120">
        <v>0</v>
      </c>
      <c r="CA120">
        <v>0</v>
      </c>
      <c r="CB120" t="s">
        <v>3</v>
      </c>
      <c r="CE120">
        <v>1566</v>
      </c>
      <c r="CF120">
        <v>0</v>
      </c>
      <c r="CG120">
        <v>0</v>
      </c>
      <c r="CM120">
        <v>0</v>
      </c>
      <c r="CN120" t="s">
        <v>3</v>
      </c>
      <c r="CO120">
        <v>0</v>
      </c>
      <c r="CP120">
        <f t="shared" si="91"/>
        <v>18142.12</v>
      </c>
      <c r="CQ120">
        <f>ROUND((ROUND((AC120*1),2)*BC120),2)</f>
        <v>18142.12</v>
      </c>
      <c r="CR120">
        <f t="shared" si="130"/>
        <v>0</v>
      </c>
      <c r="CS120">
        <f t="shared" si="131"/>
        <v>0</v>
      </c>
      <c r="CT120">
        <f t="shared" si="93"/>
        <v>0</v>
      </c>
      <c r="CU120">
        <f t="shared" si="94"/>
        <v>0</v>
      </c>
      <c r="CV120">
        <f t="shared" si="95"/>
        <v>0</v>
      </c>
      <c r="CW120">
        <f t="shared" si="96"/>
        <v>0</v>
      </c>
      <c r="CX120">
        <f t="shared" si="97"/>
        <v>0</v>
      </c>
      <c r="CY120">
        <f t="shared" si="132"/>
        <v>0</v>
      </c>
      <c r="CZ120">
        <f t="shared" si="133"/>
        <v>0</v>
      </c>
      <c r="DC120" t="s">
        <v>3</v>
      </c>
      <c r="DD120" t="s">
        <v>3</v>
      </c>
      <c r="DE120" t="s">
        <v>3</v>
      </c>
      <c r="DF120" t="s">
        <v>3</v>
      </c>
      <c r="DG120" t="s">
        <v>3</v>
      </c>
      <c r="DH120" t="s">
        <v>3</v>
      </c>
      <c r="DI120" t="s">
        <v>3</v>
      </c>
      <c r="DJ120" t="s">
        <v>3</v>
      </c>
      <c r="DK120" t="s">
        <v>3</v>
      </c>
      <c r="DL120" t="s">
        <v>3</v>
      </c>
      <c r="DM120" t="s">
        <v>3</v>
      </c>
      <c r="DN120">
        <v>0</v>
      </c>
      <c r="DO120">
        <v>0</v>
      </c>
      <c r="DP120">
        <v>1</v>
      </c>
      <c r="DQ120">
        <v>1</v>
      </c>
      <c r="DU120">
        <v>1010</v>
      </c>
      <c r="DV120" t="s">
        <v>32</v>
      </c>
      <c r="DW120" t="s">
        <v>32</v>
      </c>
      <c r="DX120">
        <v>1</v>
      </c>
      <c r="DZ120" t="s">
        <v>3</v>
      </c>
      <c r="EA120" t="s">
        <v>3</v>
      </c>
      <c r="EB120" t="s">
        <v>3</v>
      </c>
      <c r="EC120" t="s">
        <v>3</v>
      </c>
      <c r="EE120">
        <v>76282427</v>
      </c>
      <c r="EF120">
        <v>130</v>
      </c>
      <c r="EG120" t="s">
        <v>53</v>
      </c>
      <c r="EH120">
        <v>0</v>
      </c>
      <c r="EI120" t="s">
        <v>3</v>
      </c>
      <c r="EJ120">
        <v>3</v>
      </c>
      <c r="EK120">
        <v>746</v>
      </c>
      <c r="EL120" t="s">
        <v>54</v>
      </c>
      <c r="EM120" t="s">
        <v>55</v>
      </c>
      <c r="EO120" t="s">
        <v>3</v>
      </c>
      <c r="EQ120">
        <v>131072</v>
      </c>
      <c r="ER120">
        <v>18142.12</v>
      </c>
      <c r="ES120">
        <v>18142.12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5</v>
      </c>
      <c r="FC120">
        <v>0</v>
      </c>
      <c r="FD120">
        <v>18</v>
      </c>
      <c r="FF120">
        <v>17927</v>
      </c>
      <c r="FQ120">
        <v>0</v>
      </c>
      <c r="FR120">
        <f>P120</f>
        <v>18142.12</v>
      </c>
      <c r="FS120">
        <v>0</v>
      </c>
      <c r="FX120">
        <v>0</v>
      </c>
      <c r="FY120">
        <v>0</v>
      </c>
      <c r="GA120" t="s">
        <v>261</v>
      </c>
      <c r="GD120">
        <v>1</v>
      </c>
      <c r="GF120">
        <v>1389470000</v>
      </c>
      <c r="GG120">
        <v>2</v>
      </c>
      <c r="GH120">
        <v>3</v>
      </c>
      <c r="GI120">
        <v>-2</v>
      </c>
      <c r="GJ120">
        <v>0</v>
      </c>
      <c r="GK120">
        <v>0</v>
      </c>
      <c r="GL120">
        <f t="shared" si="98"/>
        <v>0</v>
      </c>
      <c r="GM120">
        <f t="shared" si="99"/>
        <v>18142.12</v>
      </c>
      <c r="GN120">
        <f t="shared" si="100"/>
        <v>0</v>
      </c>
      <c r="GO120">
        <f t="shared" si="101"/>
        <v>0</v>
      </c>
      <c r="GP120">
        <f t="shared" si="102"/>
        <v>0</v>
      </c>
      <c r="GR120">
        <v>1</v>
      </c>
      <c r="GS120">
        <v>1</v>
      </c>
      <c r="GT120">
        <v>0</v>
      </c>
      <c r="GU120" t="s">
        <v>3</v>
      </c>
      <c r="GV120">
        <f t="shared" si="103"/>
        <v>0</v>
      </c>
      <c r="GW120">
        <v>1</v>
      </c>
      <c r="GX120">
        <f t="shared" si="104"/>
        <v>0</v>
      </c>
      <c r="HA120">
        <v>0</v>
      </c>
      <c r="HB120">
        <v>0</v>
      </c>
      <c r="HC120">
        <f t="shared" si="105"/>
        <v>0</v>
      </c>
      <c r="HE120" t="s">
        <v>57</v>
      </c>
      <c r="HF120" t="s">
        <v>29</v>
      </c>
      <c r="HM120" t="s">
        <v>3</v>
      </c>
      <c r="HN120" t="s">
        <v>3</v>
      </c>
      <c r="HO120" t="s">
        <v>3</v>
      </c>
      <c r="HP120" t="s">
        <v>3</v>
      </c>
      <c r="HQ120" t="s">
        <v>3</v>
      </c>
      <c r="HS120">
        <v>0</v>
      </c>
      <c r="IK120">
        <v>0</v>
      </c>
    </row>
    <row r="121" spans="1:245">
      <c r="A121">
        <v>17</v>
      </c>
      <c r="B121">
        <v>1</v>
      </c>
      <c r="E121" t="s">
        <v>262</v>
      </c>
      <c r="F121" t="s">
        <v>110</v>
      </c>
      <c r="G121" t="s">
        <v>111</v>
      </c>
      <c r="H121" t="s">
        <v>16</v>
      </c>
      <c r="I121">
        <v>1</v>
      </c>
      <c r="J121">
        <v>0</v>
      </c>
      <c r="K121">
        <v>1</v>
      </c>
      <c r="O121">
        <f t="shared" si="81"/>
        <v>1022.93</v>
      </c>
      <c r="P121">
        <f>ROUND((ROUND((AC121*AW121*I121),2)*BC121),2)</f>
        <v>0</v>
      </c>
      <c r="Q121">
        <f t="shared" si="122"/>
        <v>0</v>
      </c>
      <c r="R121">
        <f t="shared" si="123"/>
        <v>0</v>
      </c>
      <c r="S121">
        <f t="shared" si="83"/>
        <v>1022.93</v>
      </c>
      <c r="T121">
        <f t="shared" si="84"/>
        <v>0</v>
      </c>
      <c r="U121">
        <f t="shared" si="85"/>
        <v>1.44</v>
      </c>
      <c r="V121">
        <f t="shared" si="86"/>
        <v>0</v>
      </c>
      <c r="W121">
        <f t="shared" si="87"/>
        <v>0</v>
      </c>
      <c r="X121">
        <f t="shared" si="124"/>
        <v>756.97</v>
      </c>
      <c r="Y121">
        <f t="shared" si="125"/>
        <v>368.25</v>
      </c>
      <c r="AA121">
        <v>76282491</v>
      </c>
      <c r="AB121">
        <f t="shared" si="88"/>
        <v>17.71</v>
      </c>
      <c r="AC121">
        <f t="shared" si="126"/>
        <v>0</v>
      </c>
      <c r="AD121">
        <f t="shared" si="127"/>
        <v>0</v>
      </c>
      <c r="AE121">
        <f t="shared" si="128"/>
        <v>0</v>
      </c>
      <c r="AF121">
        <f t="shared" si="128"/>
        <v>17.71</v>
      </c>
      <c r="AG121">
        <f t="shared" si="89"/>
        <v>0</v>
      </c>
      <c r="AH121">
        <f t="shared" si="129"/>
        <v>1.44</v>
      </c>
      <c r="AI121">
        <f t="shared" si="129"/>
        <v>0</v>
      </c>
      <c r="AJ121">
        <f t="shared" si="90"/>
        <v>0</v>
      </c>
      <c r="AK121">
        <v>17.71</v>
      </c>
      <c r="AL121">
        <v>0</v>
      </c>
      <c r="AM121">
        <v>0</v>
      </c>
      <c r="AN121">
        <v>0</v>
      </c>
      <c r="AO121">
        <v>17.71</v>
      </c>
      <c r="AP121">
        <v>0</v>
      </c>
      <c r="AQ121">
        <v>1.44</v>
      </c>
      <c r="AR121">
        <v>0</v>
      </c>
      <c r="AS121">
        <v>0</v>
      </c>
      <c r="AT121">
        <v>74</v>
      </c>
      <c r="AU121">
        <v>36</v>
      </c>
      <c r="AV121">
        <v>1</v>
      </c>
      <c r="AW121">
        <v>1</v>
      </c>
      <c r="AZ121">
        <v>1</v>
      </c>
      <c r="BA121">
        <v>57.76</v>
      </c>
      <c r="BB121">
        <v>1</v>
      </c>
      <c r="BC121">
        <v>1</v>
      </c>
      <c r="BD121" t="s">
        <v>3</v>
      </c>
      <c r="BE121" t="s">
        <v>3</v>
      </c>
      <c r="BF121" t="s">
        <v>3</v>
      </c>
      <c r="BG121" t="s">
        <v>3</v>
      </c>
      <c r="BH121">
        <v>0</v>
      </c>
      <c r="BI121">
        <v>4</v>
      </c>
      <c r="BJ121" t="s">
        <v>112</v>
      </c>
      <c r="BM121">
        <v>86</v>
      </c>
      <c r="BN121">
        <v>0</v>
      </c>
      <c r="BO121" t="s">
        <v>3</v>
      </c>
      <c r="BP121">
        <v>0</v>
      </c>
      <c r="BQ121">
        <v>50</v>
      </c>
      <c r="BR121">
        <v>0</v>
      </c>
      <c r="BS121">
        <v>57.76</v>
      </c>
      <c r="BT121">
        <v>1</v>
      </c>
      <c r="BU121">
        <v>1</v>
      </c>
      <c r="BV121">
        <v>1</v>
      </c>
      <c r="BW121">
        <v>1</v>
      </c>
      <c r="BX121">
        <v>1</v>
      </c>
      <c r="BY121" t="s">
        <v>3</v>
      </c>
      <c r="BZ121">
        <v>74</v>
      </c>
      <c r="CA121">
        <v>36</v>
      </c>
      <c r="CB121" t="s">
        <v>3</v>
      </c>
      <c r="CE121">
        <v>1566</v>
      </c>
      <c r="CF121">
        <v>0</v>
      </c>
      <c r="CG121">
        <v>0</v>
      </c>
      <c r="CM121">
        <v>0</v>
      </c>
      <c r="CN121" t="s">
        <v>3</v>
      </c>
      <c r="CO121">
        <v>0</v>
      </c>
      <c r="CP121">
        <f t="shared" si="91"/>
        <v>1022.93</v>
      </c>
      <c r="CQ121">
        <f>ROUND((ROUND((AC121*AW121*1),2)*BC121),2)</f>
        <v>0</v>
      </c>
      <c r="CR121">
        <f t="shared" si="130"/>
        <v>0</v>
      </c>
      <c r="CS121">
        <f t="shared" si="131"/>
        <v>0</v>
      </c>
      <c r="CT121">
        <f t="shared" si="93"/>
        <v>1022.93</v>
      </c>
      <c r="CU121">
        <f t="shared" si="94"/>
        <v>0</v>
      </c>
      <c r="CV121">
        <f t="shared" si="95"/>
        <v>1.44</v>
      </c>
      <c r="CW121">
        <f t="shared" si="96"/>
        <v>0</v>
      </c>
      <c r="CX121">
        <f t="shared" si="97"/>
        <v>0</v>
      </c>
      <c r="CY121">
        <f t="shared" si="132"/>
        <v>756.97</v>
      </c>
      <c r="CZ121">
        <f t="shared" si="133"/>
        <v>368.25</v>
      </c>
      <c r="DC121" t="s">
        <v>3</v>
      </c>
      <c r="DD121" t="s">
        <v>3</v>
      </c>
      <c r="DE121" t="s">
        <v>3</v>
      </c>
      <c r="DF121" t="s">
        <v>3</v>
      </c>
      <c r="DG121" t="s">
        <v>3</v>
      </c>
      <c r="DH121" t="s">
        <v>3</v>
      </c>
      <c r="DI121" t="s">
        <v>3</v>
      </c>
      <c r="DJ121" t="s">
        <v>3</v>
      </c>
      <c r="DK121" t="s">
        <v>3</v>
      </c>
      <c r="DL121" t="s">
        <v>3</v>
      </c>
      <c r="DM121" t="s">
        <v>3</v>
      </c>
      <c r="DN121">
        <v>0</v>
      </c>
      <c r="DO121">
        <v>0</v>
      </c>
      <c r="DP121">
        <v>1</v>
      </c>
      <c r="DQ121">
        <v>1</v>
      </c>
      <c r="DU121">
        <v>1013</v>
      </c>
      <c r="DV121" t="s">
        <v>16</v>
      </c>
      <c r="DW121" t="s">
        <v>16</v>
      </c>
      <c r="DX121">
        <v>1</v>
      </c>
      <c r="DZ121" t="s">
        <v>3</v>
      </c>
      <c r="EA121" t="s">
        <v>3</v>
      </c>
      <c r="EB121" t="s">
        <v>3</v>
      </c>
      <c r="EC121" t="s">
        <v>3</v>
      </c>
      <c r="EE121">
        <v>76282320</v>
      </c>
      <c r="EF121">
        <v>50</v>
      </c>
      <c r="EG121" t="s">
        <v>113</v>
      </c>
      <c r="EH121">
        <v>0</v>
      </c>
      <c r="EI121" t="s">
        <v>3</v>
      </c>
      <c r="EJ121">
        <v>4</v>
      </c>
      <c r="EK121">
        <v>86</v>
      </c>
      <c r="EL121" t="s">
        <v>114</v>
      </c>
      <c r="EM121" t="s">
        <v>115</v>
      </c>
      <c r="EO121" t="s">
        <v>3</v>
      </c>
      <c r="EQ121">
        <v>131072</v>
      </c>
      <c r="ER121">
        <v>17.71</v>
      </c>
      <c r="ES121">
        <v>0</v>
      </c>
      <c r="ET121">
        <v>0</v>
      </c>
      <c r="EU121">
        <v>0</v>
      </c>
      <c r="EV121">
        <v>17.71</v>
      </c>
      <c r="EW121">
        <v>1.44</v>
      </c>
      <c r="EX121">
        <v>0</v>
      </c>
      <c r="EY121">
        <v>0</v>
      </c>
      <c r="FQ121">
        <v>0</v>
      </c>
      <c r="FR121">
        <v>0</v>
      </c>
      <c r="FS121">
        <v>0</v>
      </c>
      <c r="FX121">
        <v>74</v>
      </c>
      <c r="FY121">
        <v>36</v>
      </c>
      <c r="GA121" t="s">
        <v>3</v>
      </c>
      <c r="GD121">
        <v>1</v>
      </c>
      <c r="GF121">
        <v>-897430996</v>
      </c>
      <c r="GG121">
        <v>2</v>
      </c>
      <c r="GH121">
        <v>0</v>
      </c>
      <c r="GI121">
        <v>2</v>
      </c>
      <c r="GJ121">
        <v>0</v>
      </c>
      <c r="GK121">
        <v>0</v>
      </c>
      <c r="GL121">
        <f t="shared" si="98"/>
        <v>0</v>
      </c>
      <c r="GM121">
        <f t="shared" si="99"/>
        <v>2148.15</v>
      </c>
      <c r="GN121">
        <f t="shared" si="100"/>
        <v>0</v>
      </c>
      <c r="GO121">
        <f t="shared" si="101"/>
        <v>0</v>
      </c>
      <c r="GP121">
        <f t="shared" si="102"/>
        <v>2148.15</v>
      </c>
      <c r="GR121">
        <v>0</v>
      </c>
      <c r="GS121">
        <v>7</v>
      </c>
      <c r="GT121">
        <v>0</v>
      </c>
      <c r="GU121" t="s">
        <v>3</v>
      </c>
      <c r="GV121">
        <f t="shared" si="103"/>
        <v>0</v>
      </c>
      <c r="GW121">
        <v>1</v>
      </c>
      <c r="GX121">
        <f t="shared" si="104"/>
        <v>0</v>
      </c>
      <c r="HA121">
        <v>0</v>
      </c>
      <c r="HB121">
        <v>0</v>
      </c>
      <c r="HC121">
        <f t="shared" si="105"/>
        <v>0</v>
      </c>
      <c r="HE121" t="s">
        <v>3</v>
      </c>
      <c r="HF121" t="s">
        <v>3</v>
      </c>
      <c r="HM121" t="s">
        <v>3</v>
      </c>
      <c r="HN121" t="s">
        <v>3</v>
      </c>
      <c r="HO121" t="s">
        <v>3</v>
      </c>
      <c r="HP121" t="s">
        <v>3</v>
      </c>
      <c r="HQ121" t="s">
        <v>3</v>
      </c>
      <c r="HS121">
        <v>0</v>
      </c>
      <c r="IK121">
        <v>0</v>
      </c>
    </row>
    <row r="122" spans="1:245">
      <c r="A122">
        <v>17</v>
      </c>
      <c r="B122">
        <v>1</v>
      </c>
      <c r="E122" t="s">
        <v>263</v>
      </c>
      <c r="F122" t="s">
        <v>117</v>
      </c>
      <c r="G122" t="s">
        <v>118</v>
      </c>
      <c r="H122" t="s">
        <v>119</v>
      </c>
      <c r="I122">
        <v>3</v>
      </c>
      <c r="J122">
        <v>0</v>
      </c>
      <c r="K122">
        <v>3</v>
      </c>
      <c r="O122">
        <f t="shared" si="81"/>
        <v>790.16</v>
      </c>
      <c r="P122">
        <f>ROUND((ROUND((AC122*AW122*I122),2)*BC122),2)</f>
        <v>0</v>
      </c>
      <c r="Q122">
        <f t="shared" si="122"/>
        <v>0</v>
      </c>
      <c r="R122">
        <f t="shared" si="123"/>
        <v>0</v>
      </c>
      <c r="S122">
        <f t="shared" si="83"/>
        <v>790.16</v>
      </c>
      <c r="T122">
        <f t="shared" si="84"/>
        <v>0</v>
      </c>
      <c r="U122">
        <f t="shared" si="85"/>
        <v>0.86999999999999988</v>
      </c>
      <c r="V122">
        <f t="shared" si="86"/>
        <v>0</v>
      </c>
      <c r="W122">
        <f t="shared" si="87"/>
        <v>0</v>
      </c>
      <c r="X122">
        <f t="shared" si="124"/>
        <v>584.72</v>
      </c>
      <c r="Y122">
        <f t="shared" si="125"/>
        <v>284.45999999999998</v>
      </c>
      <c r="AA122">
        <v>76282491</v>
      </c>
      <c r="AB122">
        <f t="shared" si="88"/>
        <v>4.5599999999999996</v>
      </c>
      <c r="AC122">
        <f t="shared" si="126"/>
        <v>0</v>
      </c>
      <c r="AD122">
        <f t="shared" si="127"/>
        <v>0</v>
      </c>
      <c r="AE122">
        <f t="shared" si="128"/>
        <v>0</v>
      </c>
      <c r="AF122">
        <f t="shared" si="128"/>
        <v>4.5599999999999996</v>
      </c>
      <c r="AG122">
        <f t="shared" si="89"/>
        <v>0</v>
      </c>
      <c r="AH122">
        <f t="shared" si="129"/>
        <v>0.28999999999999998</v>
      </c>
      <c r="AI122">
        <f t="shared" si="129"/>
        <v>0</v>
      </c>
      <c r="AJ122">
        <f t="shared" si="90"/>
        <v>0</v>
      </c>
      <c r="AK122">
        <v>4.5599999999999996</v>
      </c>
      <c r="AL122">
        <v>0</v>
      </c>
      <c r="AM122">
        <v>0</v>
      </c>
      <c r="AN122">
        <v>0</v>
      </c>
      <c r="AO122">
        <v>4.5599999999999996</v>
      </c>
      <c r="AP122">
        <v>0</v>
      </c>
      <c r="AQ122">
        <v>0.28999999999999998</v>
      </c>
      <c r="AR122">
        <v>0</v>
      </c>
      <c r="AS122">
        <v>0</v>
      </c>
      <c r="AT122">
        <v>74</v>
      </c>
      <c r="AU122">
        <v>36</v>
      </c>
      <c r="AV122">
        <v>1</v>
      </c>
      <c r="AW122">
        <v>1</v>
      </c>
      <c r="AZ122">
        <v>1</v>
      </c>
      <c r="BA122">
        <v>57.76</v>
      </c>
      <c r="BB122">
        <v>1</v>
      </c>
      <c r="BC122">
        <v>1</v>
      </c>
      <c r="BD122" t="s">
        <v>3</v>
      </c>
      <c r="BE122" t="s">
        <v>3</v>
      </c>
      <c r="BF122" t="s">
        <v>3</v>
      </c>
      <c r="BG122" t="s">
        <v>3</v>
      </c>
      <c r="BH122">
        <v>0</v>
      </c>
      <c r="BI122">
        <v>4</v>
      </c>
      <c r="BJ122" t="s">
        <v>120</v>
      </c>
      <c r="BM122">
        <v>86</v>
      </c>
      <c r="BN122">
        <v>0</v>
      </c>
      <c r="BO122" t="s">
        <v>3</v>
      </c>
      <c r="BP122">
        <v>0</v>
      </c>
      <c r="BQ122">
        <v>50</v>
      </c>
      <c r="BR122">
        <v>0</v>
      </c>
      <c r="BS122">
        <v>57.76</v>
      </c>
      <c r="BT122">
        <v>1</v>
      </c>
      <c r="BU122">
        <v>1</v>
      </c>
      <c r="BV122">
        <v>1</v>
      </c>
      <c r="BW122">
        <v>1</v>
      </c>
      <c r="BX122">
        <v>1</v>
      </c>
      <c r="BY122" t="s">
        <v>3</v>
      </c>
      <c r="BZ122">
        <v>74</v>
      </c>
      <c r="CA122">
        <v>36</v>
      </c>
      <c r="CB122" t="s">
        <v>3</v>
      </c>
      <c r="CE122">
        <v>1566</v>
      </c>
      <c r="CF122">
        <v>0</v>
      </c>
      <c r="CG122">
        <v>0</v>
      </c>
      <c r="CM122">
        <v>0</v>
      </c>
      <c r="CN122" t="s">
        <v>3</v>
      </c>
      <c r="CO122">
        <v>0</v>
      </c>
      <c r="CP122">
        <f t="shared" si="91"/>
        <v>790.16</v>
      </c>
      <c r="CQ122">
        <f>ROUND((ROUND((AC122*AW122*1),2)*BC122),2)</f>
        <v>0</v>
      </c>
      <c r="CR122">
        <f t="shared" si="130"/>
        <v>0</v>
      </c>
      <c r="CS122">
        <f t="shared" si="131"/>
        <v>0</v>
      </c>
      <c r="CT122">
        <f t="shared" si="93"/>
        <v>263.39</v>
      </c>
      <c r="CU122">
        <f t="shared" si="94"/>
        <v>0</v>
      </c>
      <c r="CV122">
        <f t="shared" si="95"/>
        <v>0.28999999999999998</v>
      </c>
      <c r="CW122">
        <f t="shared" si="96"/>
        <v>0</v>
      </c>
      <c r="CX122">
        <f t="shared" si="97"/>
        <v>0</v>
      </c>
      <c r="CY122">
        <f t="shared" si="132"/>
        <v>584.72</v>
      </c>
      <c r="CZ122">
        <f t="shared" si="133"/>
        <v>284.45999999999998</v>
      </c>
      <c r="DC122" t="s">
        <v>3</v>
      </c>
      <c r="DD122" t="s">
        <v>3</v>
      </c>
      <c r="DE122" t="s">
        <v>3</v>
      </c>
      <c r="DF122" t="s">
        <v>3</v>
      </c>
      <c r="DG122" t="s">
        <v>3</v>
      </c>
      <c r="DH122" t="s">
        <v>3</v>
      </c>
      <c r="DI122" t="s">
        <v>3</v>
      </c>
      <c r="DJ122" t="s">
        <v>3</v>
      </c>
      <c r="DK122" t="s">
        <v>3</v>
      </c>
      <c r="DL122" t="s">
        <v>3</v>
      </c>
      <c r="DM122" t="s">
        <v>3</v>
      </c>
      <c r="DN122">
        <v>0</v>
      </c>
      <c r="DO122">
        <v>0</v>
      </c>
      <c r="DP122">
        <v>1</v>
      </c>
      <c r="DQ122">
        <v>1</v>
      </c>
      <c r="DU122">
        <v>1013</v>
      </c>
      <c r="DV122" t="s">
        <v>119</v>
      </c>
      <c r="DW122" t="s">
        <v>119</v>
      </c>
      <c r="DX122">
        <v>1</v>
      </c>
      <c r="DZ122" t="s">
        <v>3</v>
      </c>
      <c r="EA122" t="s">
        <v>3</v>
      </c>
      <c r="EB122" t="s">
        <v>3</v>
      </c>
      <c r="EC122" t="s">
        <v>3</v>
      </c>
      <c r="EE122">
        <v>76282320</v>
      </c>
      <c r="EF122">
        <v>50</v>
      </c>
      <c r="EG122" t="s">
        <v>113</v>
      </c>
      <c r="EH122">
        <v>0</v>
      </c>
      <c r="EI122" t="s">
        <v>3</v>
      </c>
      <c r="EJ122">
        <v>4</v>
      </c>
      <c r="EK122">
        <v>86</v>
      </c>
      <c r="EL122" t="s">
        <v>114</v>
      </c>
      <c r="EM122" t="s">
        <v>115</v>
      </c>
      <c r="EO122" t="s">
        <v>3</v>
      </c>
      <c r="EQ122">
        <v>131072</v>
      </c>
      <c r="ER122">
        <v>4.5599999999999996</v>
      </c>
      <c r="ES122">
        <v>0</v>
      </c>
      <c r="ET122">
        <v>0</v>
      </c>
      <c r="EU122">
        <v>0</v>
      </c>
      <c r="EV122">
        <v>4.5599999999999996</v>
      </c>
      <c r="EW122">
        <v>0.28999999999999998</v>
      </c>
      <c r="EX122">
        <v>0</v>
      </c>
      <c r="EY122">
        <v>0</v>
      </c>
      <c r="FQ122">
        <v>0</v>
      </c>
      <c r="FR122">
        <v>0</v>
      </c>
      <c r="FS122">
        <v>0</v>
      </c>
      <c r="FX122">
        <v>74</v>
      </c>
      <c r="FY122">
        <v>36</v>
      </c>
      <c r="GA122" t="s">
        <v>3</v>
      </c>
      <c r="GD122">
        <v>1</v>
      </c>
      <c r="GF122">
        <v>-288687127</v>
      </c>
      <c r="GG122">
        <v>2</v>
      </c>
      <c r="GH122">
        <v>0</v>
      </c>
      <c r="GI122">
        <v>2</v>
      </c>
      <c r="GJ122">
        <v>0</v>
      </c>
      <c r="GK122">
        <v>0</v>
      </c>
      <c r="GL122">
        <f t="shared" si="98"/>
        <v>0</v>
      </c>
      <c r="GM122">
        <f t="shared" si="99"/>
        <v>1659.34</v>
      </c>
      <c r="GN122">
        <f t="shared" si="100"/>
        <v>0</v>
      </c>
      <c r="GO122">
        <f t="shared" si="101"/>
        <v>0</v>
      </c>
      <c r="GP122">
        <f t="shared" si="102"/>
        <v>1659.34</v>
      </c>
      <c r="GR122">
        <v>0</v>
      </c>
      <c r="GS122">
        <v>7</v>
      </c>
      <c r="GT122">
        <v>0</v>
      </c>
      <c r="GU122" t="s">
        <v>3</v>
      </c>
      <c r="GV122">
        <f t="shared" si="103"/>
        <v>0</v>
      </c>
      <c r="GW122">
        <v>1</v>
      </c>
      <c r="GX122">
        <f t="shared" si="104"/>
        <v>0</v>
      </c>
      <c r="HA122">
        <v>0</v>
      </c>
      <c r="HB122">
        <v>0</v>
      </c>
      <c r="HC122">
        <f t="shared" si="105"/>
        <v>0</v>
      </c>
      <c r="HE122" t="s">
        <v>3</v>
      </c>
      <c r="HF122" t="s">
        <v>3</v>
      </c>
      <c r="HM122" t="s">
        <v>3</v>
      </c>
      <c r="HN122" t="s">
        <v>3</v>
      </c>
      <c r="HO122" t="s">
        <v>3</v>
      </c>
      <c r="HP122" t="s">
        <v>3</v>
      </c>
      <c r="HQ122" t="s">
        <v>3</v>
      </c>
      <c r="HS122">
        <v>0</v>
      </c>
      <c r="IK122">
        <v>0</v>
      </c>
    </row>
    <row r="123" spans="1:245">
      <c r="A123">
        <v>17</v>
      </c>
      <c r="B123">
        <v>1</v>
      </c>
      <c r="E123" t="s">
        <v>264</v>
      </c>
      <c r="F123" t="s">
        <v>122</v>
      </c>
      <c r="G123" t="s">
        <v>123</v>
      </c>
      <c r="H123" t="s">
        <v>124</v>
      </c>
      <c r="I123">
        <v>2</v>
      </c>
      <c r="J123">
        <v>0</v>
      </c>
      <c r="K123">
        <v>2</v>
      </c>
      <c r="O123">
        <f t="shared" si="81"/>
        <v>219.49</v>
      </c>
      <c r="P123">
        <f>ROUND((ROUND((AC123*AW123*I123),2)*BC123),2)</f>
        <v>0</v>
      </c>
      <c r="Q123">
        <f t="shared" si="122"/>
        <v>0</v>
      </c>
      <c r="R123">
        <f t="shared" si="123"/>
        <v>0</v>
      </c>
      <c r="S123">
        <f t="shared" si="83"/>
        <v>219.49</v>
      </c>
      <c r="T123">
        <f t="shared" si="84"/>
        <v>0</v>
      </c>
      <c r="U123">
        <f t="shared" si="85"/>
        <v>0.24</v>
      </c>
      <c r="V123">
        <f t="shared" si="86"/>
        <v>0</v>
      </c>
      <c r="W123">
        <f t="shared" si="87"/>
        <v>0</v>
      </c>
      <c r="X123">
        <f t="shared" si="124"/>
        <v>162.41999999999999</v>
      </c>
      <c r="Y123">
        <f t="shared" si="125"/>
        <v>79.02</v>
      </c>
      <c r="AA123">
        <v>76282491</v>
      </c>
      <c r="AB123">
        <f t="shared" si="88"/>
        <v>1.9</v>
      </c>
      <c r="AC123">
        <f t="shared" si="126"/>
        <v>0</v>
      </c>
      <c r="AD123">
        <f t="shared" si="127"/>
        <v>0</v>
      </c>
      <c r="AE123">
        <f t="shared" si="128"/>
        <v>0</v>
      </c>
      <c r="AF123">
        <f t="shared" si="128"/>
        <v>1.9</v>
      </c>
      <c r="AG123">
        <f t="shared" si="89"/>
        <v>0</v>
      </c>
      <c r="AH123">
        <f t="shared" si="129"/>
        <v>0.12</v>
      </c>
      <c r="AI123">
        <f t="shared" si="129"/>
        <v>0</v>
      </c>
      <c r="AJ123">
        <f t="shared" si="90"/>
        <v>0</v>
      </c>
      <c r="AK123">
        <v>1.9</v>
      </c>
      <c r="AL123">
        <v>0</v>
      </c>
      <c r="AM123">
        <v>0</v>
      </c>
      <c r="AN123">
        <v>0</v>
      </c>
      <c r="AO123">
        <v>1.9</v>
      </c>
      <c r="AP123">
        <v>0</v>
      </c>
      <c r="AQ123">
        <v>0.12</v>
      </c>
      <c r="AR123">
        <v>0</v>
      </c>
      <c r="AS123">
        <v>0</v>
      </c>
      <c r="AT123">
        <v>74</v>
      </c>
      <c r="AU123">
        <v>36</v>
      </c>
      <c r="AV123">
        <v>1</v>
      </c>
      <c r="AW123">
        <v>1</v>
      </c>
      <c r="AZ123">
        <v>1</v>
      </c>
      <c r="BA123">
        <v>57.76</v>
      </c>
      <c r="BB123">
        <v>1</v>
      </c>
      <c r="BC123">
        <v>1</v>
      </c>
      <c r="BD123" t="s">
        <v>3</v>
      </c>
      <c r="BE123" t="s">
        <v>3</v>
      </c>
      <c r="BF123" t="s">
        <v>3</v>
      </c>
      <c r="BG123" t="s">
        <v>3</v>
      </c>
      <c r="BH123">
        <v>0</v>
      </c>
      <c r="BI123">
        <v>4</v>
      </c>
      <c r="BJ123" t="s">
        <v>125</v>
      </c>
      <c r="BM123">
        <v>86</v>
      </c>
      <c r="BN123">
        <v>0</v>
      </c>
      <c r="BO123" t="s">
        <v>3</v>
      </c>
      <c r="BP123">
        <v>0</v>
      </c>
      <c r="BQ123">
        <v>50</v>
      </c>
      <c r="BR123">
        <v>0</v>
      </c>
      <c r="BS123">
        <v>57.76</v>
      </c>
      <c r="BT123">
        <v>1</v>
      </c>
      <c r="BU123">
        <v>1</v>
      </c>
      <c r="BV123">
        <v>1</v>
      </c>
      <c r="BW123">
        <v>1</v>
      </c>
      <c r="BX123">
        <v>1</v>
      </c>
      <c r="BY123" t="s">
        <v>3</v>
      </c>
      <c r="BZ123">
        <v>74</v>
      </c>
      <c r="CA123">
        <v>36</v>
      </c>
      <c r="CB123" t="s">
        <v>3</v>
      </c>
      <c r="CE123">
        <v>1566</v>
      </c>
      <c r="CF123">
        <v>0</v>
      </c>
      <c r="CG123">
        <v>0</v>
      </c>
      <c r="CM123">
        <v>0</v>
      </c>
      <c r="CN123" t="s">
        <v>3</v>
      </c>
      <c r="CO123">
        <v>0</v>
      </c>
      <c r="CP123">
        <f t="shared" si="91"/>
        <v>219.49</v>
      </c>
      <c r="CQ123">
        <f>ROUND((ROUND((AC123*AW123*1),2)*BC123),2)</f>
        <v>0</v>
      </c>
      <c r="CR123">
        <f t="shared" si="130"/>
        <v>0</v>
      </c>
      <c r="CS123">
        <f t="shared" si="131"/>
        <v>0</v>
      </c>
      <c r="CT123">
        <f t="shared" si="93"/>
        <v>109.74</v>
      </c>
      <c r="CU123">
        <f t="shared" si="94"/>
        <v>0</v>
      </c>
      <c r="CV123">
        <f t="shared" si="95"/>
        <v>0.12</v>
      </c>
      <c r="CW123">
        <f t="shared" si="96"/>
        <v>0</v>
      </c>
      <c r="CX123">
        <f t="shared" si="97"/>
        <v>0</v>
      </c>
      <c r="CY123">
        <f t="shared" si="132"/>
        <v>162.41999999999999</v>
      </c>
      <c r="CZ123">
        <f t="shared" si="133"/>
        <v>79.02</v>
      </c>
      <c r="DC123" t="s">
        <v>3</v>
      </c>
      <c r="DD123" t="s">
        <v>3</v>
      </c>
      <c r="DE123" t="s">
        <v>3</v>
      </c>
      <c r="DF123" t="s">
        <v>3</v>
      </c>
      <c r="DG123" t="s">
        <v>3</v>
      </c>
      <c r="DH123" t="s">
        <v>3</v>
      </c>
      <c r="DI123" t="s">
        <v>3</v>
      </c>
      <c r="DJ123" t="s">
        <v>3</v>
      </c>
      <c r="DK123" t="s">
        <v>3</v>
      </c>
      <c r="DL123" t="s">
        <v>3</v>
      </c>
      <c r="DM123" t="s">
        <v>3</v>
      </c>
      <c r="DN123">
        <v>0</v>
      </c>
      <c r="DO123">
        <v>0</v>
      </c>
      <c r="DP123">
        <v>1</v>
      </c>
      <c r="DQ123">
        <v>1</v>
      </c>
      <c r="DU123">
        <v>1013</v>
      </c>
      <c r="DV123" t="s">
        <v>124</v>
      </c>
      <c r="DW123" t="s">
        <v>124</v>
      </c>
      <c r="DX123">
        <v>1</v>
      </c>
      <c r="DZ123" t="s">
        <v>3</v>
      </c>
      <c r="EA123" t="s">
        <v>3</v>
      </c>
      <c r="EB123" t="s">
        <v>3</v>
      </c>
      <c r="EC123" t="s">
        <v>3</v>
      </c>
      <c r="EE123">
        <v>76282320</v>
      </c>
      <c r="EF123">
        <v>50</v>
      </c>
      <c r="EG123" t="s">
        <v>113</v>
      </c>
      <c r="EH123">
        <v>0</v>
      </c>
      <c r="EI123" t="s">
        <v>3</v>
      </c>
      <c r="EJ123">
        <v>4</v>
      </c>
      <c r="EK123">
        <v>86</v>
      </c>
      <c r="EL123" t="s">
        <v>114</v>
      </c>
      <c r="EM123" t="s">
        <v>115</v>
      </c>
      <c r="EO123" t="s">
        <v>3</v>
      </c>
      <c r="EQ123">
        <v>131072</v>
      </c>
      <c r="ER123">
        <v>1.9</v>
      </c>
      <c r="ES123">
        <v>0</v>
      </c>
      <c r="ET123">
        <v>0</v>
      </c>
      <c r="EU123">
        <v>0</v>
      </c>
      <c r="EV123">
        <v>1.9</v>
      </c>
      <c r="EW123">
        <v>0.12</v>
      </c>
      <c r="EX123">
        <v>0</v>
      </c>
      <c r="EY123">
        <v>0</v>
      </c>
      <c r="FQ123">
        <v>0</v>
      </c>
      <c r="FR123">
        <v>0</v>
      </c>
      <c r="FS123">
        <v>0</v>
      </c>
      <c r="FX123">
        <v>74</v>
      </c>
      <c r="FY123">
        <v>36</v>
      </c>
      <c r="GA123" t="s">
        <v>3</v>
      </c>
      <c r="GD123">
        <v>1</v>
      </c>
      <c r="GF123">
        <v>1299732268</v>
      </c>
      <c r="GG123">
        <v>2</v>
      </c>
      <c r="GH123">
        <v>0</v>
      </c>
      <c r="GI123">
        <v>2</v>
      </c>
      <c r="GJ123">
        <v>0</v>
      </c>
      <c r="GK123">
        <v>0</v>
      </c>
      <c r="GL123">
        <f t="shared" si="98"/>
        <v>0</v>
      </c>
      <c r="GM123">
        <f t="shared" si="99"/>
        <v>460.93</v>
      </c>
      <c r="GN123">
        <f t="shared" si="100"/>
        <v>0</v>
      </c>
      <c r="GO123">
        <f t="shared" si="101"/>
        <v>0</v>
      </c>
      <c r="GP123">
        <f t="shared" si="102"/>
        <v>460.93</v>
      </c>
      <c r="GR123">
        <v>0</v>
      </c>
      <c r="GS123">
        <v>7</v>
      </c>
      <c r="GT123">
        <v>0</v>
      </c>
      <c r="GU123" t="s">
        <v>3</v>
      </c>
      <c r="GV123">
        <f t="shared" si="103"/>
        <v>0</v>
      </c>
      <c r="GW123">
        <v>1</v>
      </c>
      <c r="GX123">
        <f t="shared" si="104"/>
        <v>0</v>
      </c>
      <c r="HA123">
        <v>0</v>
      </c>
      <c r="HB123">
        <v>0</v>
      </c>
      <c r="HC123">
        <f t="shared" si="105"/>
        <v>0</v>
      </c>
      <c r="HE123" t="s">
        <v>3</v>
      </c>
      <c r="HF123" t="s">
        <v>3</v>
      </c>
      <c r="HM123" t="s">
        <v>3</v>
      </c>
      <c r="HN123" t="s">
        <v>3</v>
      </c>
      <c r="HO123" t="s">
        <v>3</v>
      </c>
      <c r="HP123" t="s">
        <v>3</v>
      </c>
      <c r="HQ123" t="s">
        <v>3</v>
      </c>
      <c r="HS123">
        <v>0</v>
      </c>
      <c r="IK123">
        <v>0</v>
      </c>
    </row>
    <row r="124" spans="1:245">
      <c r="A124">
        <v>17</v>
      </c>
      <c r="B124">
        <v>1</v>
      </c>
      <c r="E124" t="s">
        <v>265</v>
      </c>
      <c r="F124" t="s">
        <v>127</v>
      </c>
      <c r="G124" t="s">
        <v>128</v>
      </c>
      <c r="H124" t="s">
        <v>129</v>
      </c>
      <c r="I124">
        <v>1</v>
      </c>
      <c r="J124">
        <v>0</v>
      </c>
      <c r="K124">
        <v>1</v>
      </c>
      <c r="O124">
        <f t="shared" si="81"/>
        <v>10238.540000000001</v>
      </c>
      <c r="P124">
        <f>ROUND((ROUND((AC124*AW124*I124),2)*BC124),2)</f>
        <v>0</v>
      </c>
      <c r="Q124">
        <f t="shared" si="122"/>
        <v>0</v>
      </c>
      <c r="R124">
        <f t="shared" si="123"/>
        <v>0</v>
      </c>
      <c r="S124">
        <f t="shared" si="83"/>
        <v>10238.540000000001</v>
      </c>
      <c r="T124">
        <f t="shared" si="84"/>
        <v>0</v>
      </c>
      <c r="U124">
        <f t="shared" si="85"/>
        <v>11.2</v>
      </c>
      <c r="V124">
        <f t="shared" si="86"/>
        <v>0</v>
      </c>
      <c r="W124">
        <f t="shared" si="87"/>
        <v>0</v>
      </c>
      <c r="X124">
        <f t="shared" si="124"/>
        <v>7576.52</v>
      </c>
      <c r="Y124">
        <f t="shared" si="125"/>
        <v>3685.87</v>
      </c>
      <c r="AA124">
        <v>76282491</v>
      </c>
      <c r="AB124">
        <f t="shared" si="88"/>
        <v>177.26</v>
      </c>
      <c r="AC124">
        <f t="shared" si="126"/>
        <v>0</v>
      </c>
      <c r="AD124">
        <f t="shared" si="127"/>
        <v>0</v>
      </c>
      <c r="AE124">
        <f t="shared" si="128"/>
        <v>0</v>
      </c>
      <c r="AF124">
        <f t="shared" si="128"/>
        <v>177.26</v>
      </c>
      <c r="AG124">
        <f t="shared" si="89"/>
        <v>0</v>
      </c>
      <c r="AH124">
        <f t="shared" si="129"/>
        <v>11.2</v>
      </c>
      <c r="AI124">
        <f t="shared" si="129"/>
        <v>0</v>
      </c>
      <c r="AJ124">
        <f t="shared" si="90"/>
        <v>0</v>
      </c>
      <c r="AK124">
        <v>177.26</v>
      </c>
      <c r="AL124">
        <v>0</v>
      </c>
      <c r="AM124">
        <v>0</v>
      </c>
      <c r="AN124">
        <v>0</v>
      </c>
      <c r="AO124">
        <v>177.26</v>
      </c>
      <c r="AP124">
        <v>0</v>
      </c>
      <c r="AQ124">
        <v>11.2</v>
      </c>
      <c r="AR124">
        <v>0</v>
      </c>
      <c r="AS124">
        <v>0</v>
      </c>
      <c r="AT124">
        <v>74</v>
      </c>
      <c r="AU124">
        <v>36</v>
      </c>
      <c r="AV124">
        <v>1</v>
      </c>
      <c r="AW124">
        <v>1</v>
      </c>
      <c r="AZ124">
        <v>1</v>
      </c>
      <c r="BA124">
        <v>57.76</v>
      </c>
      <c r="BB124">
        <v>1</v>
      </c>
      <c r="BC124">
        <v>1</v>
      </c>
      <c r="BD124" t="s">
        <v>3</v>
      </c>
      <c r="BE124" t="s">
        <v>3</v>
      </c>
      <c r="BF124" t="s">
        <v>3</v>
      </c>
      <c r="BG124" t="s">
        <v>3</v>
      </c>
      <c r="BH124">
        <v>0</v>
      </c>
      <c r="BI124">
        <v>4</v>
      </c>
      <c r="BJ124" t="s">
        <v>130</v>
      </c>
      <c r="BM124">
        <v>86</v>
      </c>
      <c r="BN124">
        <v>0</v>
      </c>
      <c r="BO124" t="s">
        <v>3</v>
      </c>
      <c r="BP124">
        <v>0</v>
      </c>
      <c r="BQ124">
        <v>50</v>
      </c>
      <c r="BR124">
        <v>0</v>
      </c>
      <c r="BS124">
        <v>57.76</v>
      </c>
      <c r="BT124">
        <v>1</v>
      </c>
      <c r="BU124">
        <v>1</v>
      </c>
      <c r="BV124">
        <v>1</v>
      </c>
      <c r="BW124">
        <v>1</v>
      </c>
      <c r="BX124">
        <v>1</v>
      </c>
      <c r="BY124" t="s">
        <v>3</v>
      </c>
      <c r="BZ124">
        <v>74</v>
      </c>
      <c r="CA124">
        <v>36</v>
      </c>
      <c r="CB124" t="s">
        <v>3</v>
      </c>
      <c r="CE124">
        <v>1566</v>
      </c>
      <c r="CF124">
        <v>0</v>
      </c>
      <c r="CG124">
        <v>0</v>
      </c>
      <c r="CM124">
        <v>0</v>
      </c>
      <c r="CN124" t="s">
        <v>3</v>
      </c>
      <c r="CO124">
        <v>0</v>
      </c>
      <c r="CP124">
        <f t="shared" si="91"/>
        <v>10238.540000000001</v>
      </c>
      <c r="CQ124">
        <f>ROUND((ROUND((AC124*AW124*1),2)*BC124),2)</f>
        <v>0</v>
      </c>
      <c r="CR124">
        <f t="shared" si="130"/>
        <v>0</v>
      </c>
      <c r="CS124">
        <f t="shared" si="131"/>
        <v>0</v>
      </c>
      <c r="CT124">
        <f t="shared" si="93"/>
        <v>10238.540000000001</v>
      </c>
      <c r="CU124">
        <f t="shared" si="94"/>
        <v>0</v>
      </c>
      <c r="CV124">
        <f t="shared" si="95"/>
        <v>11.2</v>
      </c>
      <c r="CW124">
        <f t="shared" si="96"/>
        <v>0</v>
      </c>
      <c r="CX124">
        <f t="shared" si="97"/>
        <v>0</v>
      </c>
      <c r="CY124">
        <f t="shared" si="132"/>
        <v>7576.52</v>
      </c>
      <c r="CZ124">
        <f t="shared" si="133"/>
        <v>3685.87</v>
      </c>
      <c r="DC124" t="s">
        <v>3</v>
      </c>
      <c r="DD124" t="s">
        <v>3</v>
      </c>
      <c r="DE124" t="s">
        <v>3</v>
      </c>
      <c r="DF124" t="s">
        <v>3</v>
      </c>
      <c r="DG124" t="s">
        <v>3</v>
      </c>
      <c r="DH124" t="s">
        <v>3</v>
      </c>
      <c r="DI124" t="s">
        <v>3</v>
      </c>
      <c r="DJ124" t="s">
        <v>3</v>
      </c>
      <c r="DK124" t="s">
        <v>3</v>
      </c>
      <c r="DL124" t="s">
        <v>3</v>
      </c>
      <c r="DM124" t="s">
        <v>3</v>
      </c>
      <c r="DN124">
        <v>0</v>
      </c>
      <c r="DO124">
        <v>0</v>
      </c>
      <c r="DP124">
        <v>1</v>
      </c>
      <c r="DQ124">
        <v>1</v>
      </c>
      <c r="DU124">
        <v>1013</v>
      </c>
      <c r="DV124" t="s">
        <v>129</v>
      </c>
      <c r="DW124" t="s">
        <v>129</v>
      </c>
      <c r="DX124">
        <v>1</v>
      </c>
      <c r="DZ124" t="s">
        <v>3</v>
      </c>
      <c r="EA124" t="s">
        <v>3</v>
      </c>
      <c r="EB124" t="s">
        <v>3</v>
      </c>
      <c r="EC124" t="s">
        <v>3</v>
      </c>
      <c r="EE124">
        <v>76282320</v>
      </c>
      <c r="EF124">
        <v>50</v>
      </c>
      <c r="EG124" t="s">
        <v>113</v>
      </c>
      <c r="EH124">
        <v>0</v>
      </c>
      <c r="EI124" t="s">
        <v>3</v>
      </c>
      <c r="EJ124">
        <v>4</v>
      </c>
      <c r="EK124">
        <v>86</v>
      </c>
      <c r="EL124" t="s">
        <v>114</v>
      </c>
      <c r="EM124" t="s">
        <v>115</v>
      </c>
      <c r="EO124" t="s">
        <v>3</v>
      </c>
      <c r="EQ124">
        <v>131072</v>
      </c>
      <c r="ER124">
        <v>177.26</v>
      </c>
      <c r="ES124">
        <v>0</v>
      </c>
      <c r="ET124">
        <v>0</v>
      </c>
      <c r="EU124">
        <v>0</v>
      </c>
      <c r="EV124">
        <v>177.26</v>
      </c>
      <c r="EW124">
        <v>11.2</v>
      </c>
      <c r="EX124">
        <v>0</v>
      </c>
      <c r="EY124">
        <v>0</v>
      </c>
      <c r="FQ124">
        <v>0</v>
      </c>
      <c r="FR124">
        <v>0</v>
      </c>
      <c r="FS124">
        <v>0</v>
      </c>
      <c r="FX124">
        <v>74</v>
      </c>
      <c r="FY124">
        <v>36</v>
      </c>
      <c r="GA124" t="s">
        <v>3</v>
      </c>
      <c r="GD124">
        <v>1</v>
      </c>
      <c r="GF124">
        <v>761731201</v>
      </c>
      <c r="GG124">
        <v>2</v>
      </c>
      <c r="GH124">
        <v>0</v>
      </c>
      <c r="GI124">
        <v>2</v>
      </c>
      <c r="GJ124">
        <v>0</v>
      </c>
      <c r="GK124">
        <v>0</v>
      </c>
      <c r="GL124">
        <f t="shared" si="98"/>
        <v>0</v>
      </c>
      <c r="GM124">
        <f t="shared" si="99"/>
        <v>21500.93</v>
      </c>
      <c r="GN124">
        <f t="shared" si="100"/>
        <v>0</v>
      </c>
      <c r="GO124">
        <f t="shared" si="101"/>
        <v>0</v>
      </c>
      <c r="GP124">
        <f t="shared" si="102"/>
        <v>21500.93</v>
      </c>
      <c r="GR124">
        <v>0</v>
      </c>
      <c r="GS124">
        <v>7</v>
      </c>
      <c r="GT124">
        <v>0</v>
      </c>
      <c r="GU124" t="s">
        <v>3</v>
      </c>
      <c r="GV124">
        <f t="shared" si="103"/>
        <v>0</v>
      </c>
      <c r="GW124">
        <v>1</v>
      </c>
      <c r="GX124">
        <f t="shared" si="104"/>
        <v>0</v>
      </c>
      <c r="HA124">
        <v>0</v>
      </c>
      <c r="HB124">
        <v>0</v>
      </c>
      <c r="HC124">
        <f t="shared" si="105"/>
        <v>0</v>
      </c>
      <c r="HE124" t="s">
        <v>3</v>
      </c>
      <c r="HF124" t="s">
        <v>3</v>
      </c>
      <c r="HM124" t="s">
        <v>3</v>
      </c>
      <c r="HN124" t="s">
        <v>3</v>
      </c>
      <c r="HO124" t="s">
        <v>3</v>
      </c>
      <c r="HP124" t="s">
        <v>3</v>
      </c>
      <c r="HQ124" t="s">
        <v>3</v>
      </c>
      <c r="HS124">
        <v>0</v>
      </c>
      <c r="IK124">
        <v>0</v>
      </c>
    </row>
    <row r="126" spans="1:245">
      <c r="A126" s="2">
        <v>51</v>
      </c>
      <c r="B126" s="2">
        <f>B91</f>
        <v>1</v>
      </c>
      <c r="C126" s="2">
        <f>A91</f>
        <v>4</v>
      </c>
      <c r="D126" s="2">
        <f>ROW(A91)</f>
        <v>91</v>
      </c>
      <c r="E126" s="2"/>
      <c r="F126" s="2" t="str">
        <f>IF(F91&lt;&gt;"",F91,"")</f>
        <v>Новый раздел</v>
      </c>
      <c r="G126" s="2" t="str">
        <f>IF(G91&lt;&gt;"",G91,"")</f>
        <v>Установка воздушной завесы</v>
      </c>
      <c r="H126" s="2">
        <v>0</v>
      </c>
      <c r="I126" s="2"/>
      <c r="J126" s="2"/>
      <c r="K126" s="2"/>
      <c r="L126" s="2"/>
      <c r="M126" s="2"/>
      <c r="N126" s="2"/>
      <c r="O126" s="2">
        <f t="shared" ref="O126:T126" si="134">ROUND(AB126,2)</f>
        <v>69264.27</v>
      </c>
      <c r="P126" s="2">
        <f t="shared" si="134"/>
        <v>37778.11</v>
      </c>
      <c r="Q126" s="2">
        <f t="shared" si="134"/>
        <v>574.74</v>
      </c>
      <c r="R126" s="2">
        <f t="shared" si="134"/>
        <v>215.45</v>
      </c>
      <c r="S126" s="2">
        <f t="shared" si="134"/>
        <v>30911.42</v>
      </c>
      <c r="T126" s="2">
        <f t="shared" si="134"/>
        <v>0</v>
      </c>
      <c r="U126" s="2">
        <f>AH126</f>
        <v>40.717479999999995</v>
      </c>
      <c r="V126" s="2">
        <f>AI126</f>
        <v>0</v>
      </c>
      <c r="W126" s="2">
        <f>ROUND(AJ126,2)</f>
        <v>0</v>
      </c>
      <c r="X126" s="2">
        <f>ROUND(AK126,2)</f>
        <v>28101.73</v>
      </c>
      <c r="Y126" s="2">
        <f>ROUND(AL126,2)</f>
        <v>14643.23</v>
      </c>
      <c r="Z126" s="2"/>
      <c r="AA126" s="2"/>
      <c r="AB126" s="2">
        <f>ROUND(SUMIF(AA95:AA124,"=76282491",O95:O124),2)</f>
        <v>69264.27</v>
      </c>
      <c r="AC126" s="2">
        <f>ROUND(SUMIF(AA95:AA124,"=76282491",P95:P124),2)</f>
        <v>37778.11</v>
      </c>
      <c r="AD126" s="2">
        <f>ROUND(SUMIF(AA95:AA124,"=76282491",Q95:Q124),2)</f>
        <v>574.74</v>
      </c>
      <c r="AE126" s="2">
        <f>ROUND(SUMIF(AA95:AA124,"=76282491",R95:R124),2)</f>
        <v>215.45</v>
      </c>
      <c r="AF126" s="2">
        <f>ROUND(SUMIF(AA95:AA124,"=76282491",S95:S124),2)</f>
        <v>30911.42</v>
      </c>
      <c r="AG126" s="2">
        <f>ROUND(SUMIF(AA95:AA124,"=76282491",T95:T124),2)</f>
        <v>0</v>
      </c>
      <c r="AH126" s="2">
        <f>SUMIF(AA95:AA124,"=76282491",U95:U124)</f>
        <v>40.717479999999995</v>
      </c>
      <c r="AI126" s="2">
        <f>SUMIF(AA95:AA124,"=76282491",V95:V124)</f>
        <v>0</v>
      </c>
      <c r="AJ126" s="2">
        <f>ROUND(SUMIF(AA95:AA124,"=76282491",W95:W124),2)</f>
        <v>0</v>
      </c>
      <c r="AK126" s="2">
        <f>ROUND(SUMIF(AA95:AA124,"=76282491",X95:X124),2)</f>
        <v>28101.73</v>
      </c>
      <c r="AL126" s="2">
        <f>ROUND(SUMIF(AA95:AA124,"=76282491",Y95:Y124),2)</f>
        <v>14643.23</v>
      </c>
      <c r="AM126" s="2"/>
      <c r="AN126" s="2"/>
      <c r="AO126" s="2">
        <f t="shared" ref="AO126:BD126" si="135">ROUND(BX126,2)</f>
        <v>0</v>
      </c>
      <c r="AP126" s="2">
        <f t="shared" si="135"/>
        <v>19141.98</v>
      </c>
      <c r="AQ126" s="2">
        <f t="shared" si="135"/>
        <v>0</v>
      </c>
      <c r="AR126" s="2">
        <f t="shared" si="135"/>
        <v>112009.23</v>
      </c>
      <c r="AS126" s="2">
        <f t="shared" si="135"/>
        <v>34147.89</v>
      </c>
      <c r="AT126" s="2">
        <f t="shared" si="135"/>
        <v>32950.01</v>
      </c>
      <c r="AU126" s="2">
        <f t="shared" si="135"/>
        <v>25769.35</v>
      </c>
      <c r="AV126" s="2">
        <f t="shared" si="135"/>
        <v>37778.11</v>
      </c>
      <c r="AW126" s="2">
        <f t="shared" si="135"/>
        <v>18636.13</v>
      </c>
      <c r="AX126" s="2">
        <f t="shared" si="135"/>
        <v>0</v>
      </c>
      <c r="AY126" s="2">
        <f t="shared" si="135"/>
        <v>18636.13</v>
      </c>
      <c r="AZ126" s="2">
        <f t="shared" si="135"/>
        <v>19141.98</v>
      </c>
      <c r="BA126" s="2">
        <f t="shared" si="135"/>
        <v>0</v>
      </c>
      <c r="BB126" s="2">
        <f t="shared" si="135"/>
        <v>0</v>
      </c>
      <c r="BC126" s="2">
        <f t="shared" si="135"/>
        <v>0</v>
      </c>
      <c r="BD126" s="2">
        <f t="shared" si="135"/>
        <v>0</v>
      </c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>
        <f>ROUND(SUMIF(AA95:AA124,"=76282491",FQ95:FQ124),2)</f>
        <v>0</v>
      </c>
      <c r="BY126" s="2">
        <f>ROUND(SUMIF(AA95:AA124,"=76282491",FR95:FR124),2)</f>
        <v>19141.98</v>
      </c>
      <c r="BZ126" s="2">
        <f>ROUND(SUMIF(AA95:AA124,"=76282491",GL95:GL124),2)</f>
        <v>0</v>
      </c>
      <c r="CA126" s="2">
        <f>ROUND(SUMIF(AA95:AA124,"=76282491",GM95:GM124),2)</f>
        <v>112009.23</v>
      </c>
      <c r="CB126" s="2">
        <f>ROUND(SUMIF(AA95:AA124,"=76282491",GN95:GN124),2)</f>
        <v>34147.89</v>
      </c>
      <c r="CC126" s="2">
        <f>ROUND(SUMIF(AA95:AA124,"=76282491",GO95:GO124),2)</f>
        <v>32950.01</v>
      </c>
      <c r="CD126" s="2">
        <f>ROUND(SUMIF(AA95:AA124,"=76282491",GP95:GP124),2)</f>
        <v>25769.35</v>
      </c>
      <c r="CE126" s="2">
        <f>AC126-BX126</f>
        <v>37778.11</v>
      </c>
      <c r="CF126" s="2">
        <f>AC126-BY126</f>
        <v>18636.13</v>
      </c>
      <c r="CG126" s="2">
        <f>BX126-BZ126</f>
        <v>0</v>
      </c>
      <c r="CH126" s="2">
        <f>AC126-BX126-BY126+BZ126</f>
        <v>18636.13</v>
      </c>
      <c r="CI126" s="2">
        <f>BY126-BZ126</f>
        <v>19141.98</v>
      </c>
      <c r="CJ126" s="2">
        <f>ROUND(SUMIF(AA95:AA124,"=76282491",GX95:GX124),2)</f>
        <v>0</v>
      </c>
      <c r="CK126" s="2">
        <f>ROUND(SUMIF(AA95:AA124,"=76282491",GY95:GY124),2)</f>
        <v>0</v>
      </c>
      <c r="CL126" s="2">
        <f>ROUND(SUMIF(AA95:AA124,"=76282491",GZ95:GZ124),2)</f>
        <v>0</v>
      </c>
      <c r="CM126" s="2">
        <f>ROUND(SUMIF(AA95:AA124,"=76282491",HD95:HD124),2)</f>
        <v>0</v>
      </c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>
        <v>0</v>
      </c>
    </row>
    <row r="128" spans="1:245">
      <c r="A128" s="4">
        <v>50</v>
      </c>
      <c r="B128" s="4">
        <v>0</v>
      </c>
      <c r="C128" s="4">
        <v>0</v>
      </c>
      <c r="D128" s="4">
        <v>1</v>
      </c>
      <c r="E128" s="4">
        <v>201</v>
      </c>
      <c r="F128" s="4">
        <f>ROUND(Source!O126,O128)</f>
        <v>69264.27</v>
      </c>
      <c r="G128" s="4" t="s">
        <v>131</v>
      </c>
      <c r="H128" s="4" t="s">
        <v>132</v>
      </c>
      <c r="I128" s="4"/>
      <c r="J128" s="4"/>
      <c r="K128" s="4">
        <v>201</v>
      </c>
      <c r="L128" s="4">
        <v>1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69264.27</v>
      </c>
      <c r="X128" s="4">
        <v>1</v>
      </c>
      <c r="Y128" s="4">
        <v>69264.27</v>
      </c>
      <c r="Z128" s="4"/>
      <c r="AA128" s="4"/>
      <c r="AB128" s="4"/>
    </row>
    <row r="129" spans="1:28">
      <c r="A129" s="4">
        <v>50</v>
      </c>
      <c r="B129" s="4">
        <v>0</v>
      </c>
      <c r="C129" s="4">
        <v>0</v>
      </c>
      <c r="D129" s="4">
        <v>1</v>
      </c>
      <c r="E129" s="4">
        <v>202</v>
      </c>
      <c r="F129" s="4">
        <f>ROUND(Source!P126,O129)</f>
        <v>37778.11</v>
      </c>
      <c r="G129" s="4" t="s">
        <v>133</v>
      </c>
      <c r="H129" s="4" t="s">
        <v>134</v>
      </c>
      <c r="I129" s="4"/>
      <c r="J129" s="4"/>
      <c r="K129" s="4">
        <v>202</v>
      </c>
      <c r="L129" s="4">
        <v>2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37778.11</v>
      </c>
      <c r="X129" s="4">
        <v>1</v>
      </c>
      <c r="Y129" s="4">
        <v>37778.11</v>
      </c>
      <c r="Z129" s="4"/>
      <c r="AA129" s="4"/>
      <c r="AB129" s="4"/>
    </row>
    <row r="130" spans="1:28">
      <c r="A130" s="4">
        <v>50</v>
      </c>
      <c r="B130" s="4">
        <v>0</v>
      </c>
      <c r="C130" s="4">
        <v>0</v>
      </c>
      <c r="D130" s="4">
        <v>1</v>
      </c>
      <c r="E130" s="4">
        <v>222</v>
      </c>
      <c r="F130" s="4">
        <f>ROUND(Source!AO126,O130)</f>
        <v>0</v>
      </c>
      <c r="G130" s="4" t="s">
        <v>135</v>
      </c>
      <c r="H130" s="4" t="s">
        <v>136</v>
      </c>
      <c r="I130" s="4"/>
      <c r="J130" s="4"/>
      <c r="K130" s="4">
        <v>222</v>
      </c>
      <c r="L130" s="4">
        <v>3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0</v>
      </c>
      <c r="X130" s="4">
        <v>1</v>
      </c>
      <c r="Y130" s="4">
        <v>0</v>
      </c>
      <c r="Z130" s="4"/>
      <c r="AA130" s="4"/>
      <c r="AB130" s="4"/>
    </row>
    <row r="131" spans="1:28">
      <c r="A131" s="4">
        <v>50</v>
      </c>
      <c r="B131" s="4">
        <v>0</v>
      </c>
      <c r="C131" s="4">
        <v>0</v>
      </c>
      <c r="D131" s="4">
        <v>1</v>
      </c>
      <c r="E131" s="4">
        <v>225</v>
      </c>
      <c r="F131" s="4">
        <f>ROUND(Source!AV126,O131)</f>
        <v>37778.11</v>
      </c>
      <c r="G131" s="4" t="s">
        <v>137</v>
      </c>
      <c r="H131" s="4" t="s">
        <v>138</v>
      </c>
      <c r="I131" s="4"/>
      <c r="J131" s="4"/>
      <c r="K131" s="4">
        <v>225</v>
      </c>
      <c r="L131" s="4">
        <v>4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37778.11</v>
      </c>
      <c r="X131" s="4">
        <v>1</v>
      </c>
      <c r="Y131" s="4">
        <v>37778.11</v>
      </c>
      <c r="Z131" s="4"/>
      <c r="AA131" s="4"/>
      <c r="AB131" s="4"/>
    </row>
    <row r="132" spans="1:28">
      <c r="A132" s="4">
        <v>50</v>
      </c>
      <c r="B132" s="4">
        <v>0</v>
      </c>
      <c r="C132" s="4">
        <v>0</v>
      </c>
      <c r="D132" s="4">
        <v>1</v>
      </c>
      <c r="E132" s="4">
        <v>226</v>
      </c>
      <c r="F132" s="4">
        <f>ROUND(Source!AW126,O132)</f>
        <v>18636.13</v>
      </c>
      <c r="G132" s="4" t="s">
        <v>139</v>
      </c>
      <c r="H132" s="4" t="s">
        <v>140</v>
      </c>
      <c r="I132" s="4"/>
      <c r="J132" s="4"/>
      <c r="K132" s="4">
        <v>226</v>
      </c>
      <c r="L132" s="4">
        <v>5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18636.13</v>
      </c>
      <c r="X132" s="4">
        <v>1</v>
      </c>
      <c r="Y132" s="4">
        <v>18636.13</v>
      </c>
      <c r="Z132" s="4"/>
      <c r="AA132" s="4"/>
      <c r="AB132" s="4"/>
    </row>
    <row r="133" spans="1:28">
      <c r="A133" s="4">
        <v>50</v>
      </c>
      <c r="B133" s="4">
        <v>0</v>
      </c>
      <c r="C133" s="4">
        <v>0</v>
      </c>
      <c r="D133" s="4">
        <v>1</v>
      </c>
      <c r="E133" s="4">
        <v>227</v>
      </c>
      <c r="F133" s="4">
        <f>ROUND(Source!AX126,O133)</f>
        <v>0</v>
      </c>
      <c r="G133" s="4" t="s">
        <v>141</v>
      </c>
      <c r="H133" s="4" t="s">
        <v>142</v>
      </c>
      <c r="I133" s="4"/>
      <c r="J133" s="4"/>
      <c r="K133" s="4">
        <v>227</v>
      </c>
      <c r="L133" s="4">
        <v>6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8">
      <c r="A134" s="4">
        <v>50</v>
      </c>
      <c r="B134" s="4">
        <v>0</v>
      </c>
      <c r="C134" s="4">
        <v>0</v>
      </c>
      <c r="D134" s="4">
        <v>1</v>
      </c>
      <c r="E134" s="4">
        <v>228</v>
      </c>
      <c r="F134" s="4">
        <f>ROUND(Source!AY126,O134)</f>
        <v>18636.13</v>
      </c>
      <c r="G134" s="4" t="s">
        <v>143</v>
      </c>
      <c r="H134" s="4" t="s">
        <v>144</v>
      </c>
      <c r="I134" s="4"/>
      <c r="J134" s="4"/>
      <c r="K134" s="4">
        <v>228</v>
      </c>
      <c r="L134" s="4">
        <v>7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18636.13</v>
      </c>
      <c r="X134" s="4">
        <v>1</v>
      </c>
      <c r="Y134" s="4">
        <v>18636.13</v>
      </c>
      <c r="Z134" s="4"/>
      <c r="AA134" s="4"/>
      <c r="AB134" s="4"/>
    </row>
    <row r="135" spans="1:28">
      <c r="A135" s="4">
        <v>50</v>
      </c>
      <c r="B135" s="4">
        <v>0</v>
      </c>
      <c r="C135" s="4">
        <v>0</v>
      </c>
      <c r="D135" s="4">
        <v>1</v>
      </c>
      <c r="E135" s="4">
        <v>216</v>
      </c>
      <c r="F135" s="4">
        <f>ROUND(Source!AP126,O135)</f>
        <v>19141.98</v>
      </c>
      <c r="G135" s="4" t="s">
        <v>145</v>
      </c>
      <c r="H135" s="4" t="s">
        <v>146</v>
      </c>
      <c r="I135" s="4"/>
      <c r="J135" s="4"/>
      <c r="K135" s="4">
        <v>216</v>
      </c>
      <c r="L135" s="4">
        <v>8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19141.98</v>
      </c>
      <c r="X135" s="4">
        <v>1</v>
      </c>
      <c r="Y135" s="4">
        <v>19141.98</v>
      </c>
      <c r="Z135" s="4"/>
      <c r="AA135" s="4"/>
      <c r="AB135" s="4"/>
    </row>
    <row r="136" spans="1:28">
      <c r="A136" s="4">
        <v>50</v>
      </c>
      <c r="B136" s="4">
        <v>0</v>
      </c>
      <c r="C136" s="4">
        <v>0</v>
      </c>
      <c r="D136" s="4">
        <v>1</v>
      </c>
      <c r="E136" s="4">
        <v>223</v>
      </c>
      <c r="F136" s="4">
        <f>ROUND(Source!AQ126,O136)</f>
        <v>0</v>
      </c>
      <c r="G136" s="4" t="s">
        <v>147</v>
      </c>
      <c r="H136" s="4" t="s">
        <v>148</v>
      </c>
      <c r="I136" s="4"/>
      <c r="J136" s="4"/>
      <c r="K136" s="4">
        <v>223</v>
      </c>
      <c r="L136" s="4">
        <v>9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8">
      <c r="A137" s="4">
        <v>50</v>
      </c>
      <c r="B137" s="4">
        <v>0</v>
      </c>
      <c r="C137" s="4">
        <v>0</v>
      </c>
      <c r="D137" s="4">
        <v>1</v>
      </c>
      <c r="E137" s="4">
        <v>229</v>
      </c>
      <c r="F137" s="4">
        <f>ROUND(Source!AZ126,O137)</f>
        <v>19141.98</v>
      </c>
      <c r="G137" s="4" t="s">
        <v>149</v>
      </c>
      <c r="H137" s="4" t="s">
        <v>150</v>
      </c>
      <c r="I137" s="4"/>
      <c r="J137" s="4"/>
      <c r="K137" s="4">
        <v>229</v>
      </c>
      <c r="L137" s="4">
        <v>10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19141.98</v>
      </c>
      <c r="X137" s="4">
        <v>1</v>
      </c>
      <c r="Y137" s="4">
        <v>19141.98</v>
      </c>
      <c r="Z137" s="4"/>
      <c r="AA137" s="4"/>
      <c r="AB137" s="4"/>
    </row>
    <row r="138" spans="1:28">
      <c r="A138" s="4">
        <v>50</v>
      </c>
      <c r="B138" s="4">
        <v>0</v>
      </c>
      <c r="C138" s="4">
        <v>0</v>
      </c>
      <c r="D138" s="4">
        <v>1</v>
      </c>
      <c r="E138" s="4">
        <v>203</v>
      </c>
      <c r="F138" s="4">
        <f>ROUND(Source!Q126,O138)</f>
        <v>574.74</v>
      </c>
      <c r="G138" s="4" t="s">
        <v>151</v>
      </c>
      <c r="H138" s="4" t="s">
        <v>152</v>
      </c>
      <c r="I138" s="4"/>
      <c r="J138" s="4"/>
      <c r="K138" s="4">
        <v>203</v>
      </c>
      <c r="L138" s="4">
        <v>11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574.74</v>
      </c>
      <c r="X138" s="4">
        <v>1</v>
      </c>
      <c r="Y138" s="4">
        <v>574.74</v>
      </c>
      <c r="Z138" s="4"/>
      <c r="AA138" s="4"/>
      <c r="AB138" s="4"/>
    </row>
    <row r="139" spans="1:28">
      <c r="A139" s="4">
        <v>50</v>
      </c>
      <c r="B139" s="4">
        <v>0</v>
      </c>
      <c r="C139" s="4">
        <v>0</v>
      </c>
      <c r="D139" s="4">
        <v>1</v>
      </c>
      <c r="E139" s="4">
        <v>231</v>
      </c>
      <c r="F139" s="4">
        <f>ROUND(Source!BB126,O139)</f>
        <v>0</v>
      </c>
      <c r="G139" s="4" t="s">
        <v>153</v>
      </c>
      <c r="H139" s="4" t="s">
        <v>154</v>
      </c>
      <c r="I139" s="4"/>
      <c r="J139" s="4"/>
      <c r="K139" s="4">
        <v>231</v>
      </c>
      <c r="L139" s="4">
        <v>12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>
      <c r="A140" s="4">
        <v>50</v>
      </c>
      <c r="B140" s="4">
        <v>0</v>
      </c>
      <c r="C140" s="4">
        <v>0</v>
      </c>
      <c r="D140" s="4">
        <v>1</v>
      </c>
      <c r="E140" s="4">
        <v>204</v>
      </c>
      <c r="F140" s="4">
        <f>ROUND(Source!R126,O140)</f>
        <v>215.45</v>
      </c>
      <c r="G140" s="4" t="s">
        <v>155</v>
      </c>
      <c r="H140" s="4" t="s">
        <v>156</v>
      </c>
      <c r="I140" s="4"/>
      <c r="J140" s="4"/>
      <c r="K140" s="4">
        <v>204</v>
      </c>
      <c r="L140" s="4">
        <v>13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215.45</v>
      </c>
      <c r="X140" s="4">
        <v>1</v>
      </c>
      <c r="Y140" s="4">
        <v>215.45</v>
      </c>
      <c r="Z140" s="4"/>
      <c r="AA140" s="4"/>
      <c r="AB140" s="4"/>
    </row>
    <row r="141" spans="1:28">
      <c r="A141" s="4">
        <v>50</v>
      </c>
      <c r="B141" s="4">
        <v>0</v>
      </c>
      <c r="C141" s="4">
        <v>0</v>
      </c>
      <c r="D141" s="4">
        <v>1</v>
      </c>
      <c r="E141" s="4">
        <v>205</v>
      </c>
      <c r="F141" s="4">
        <f>ROUND(Source!S126,O141)</f>
        <v>30911.42</v>
      </c>
      <c r="G141" s="4" t="s">
        <v>157</v>
      </c>
      <c r="H141" s="4" t="s">
        <v>158</v>
      </c>
      <c r="I141" s="4"/>
      <c r="J141" s="4"/>
      <c r="K141" s="4">
        <v>205</v>
      </c>
      <c r="L141" s="4">
        <v>14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30911.42</v>
      </c>
      <c r="X141" s="4">
        <v>1</v>
      </c>
      <c r="Y141" s="4">
        <v>30911.42</v>
      </c>
      <c r="Z141" s="4"/>
      <c r="AA141" s="4"/>
      <c r="AB141" s="4"/>
    </row>
    <row r="142" spans="1:28">
      <c r="A142" s="4">
        <v>50</v>
      </c>
      <c r="B142" s="4">
        <v>0</v>
      </c>
      <c r="C142" s="4">
        <v>0</v>
      </c>
      <c r="D142" s="4">
        <v>1</v>
      </c>
      <c r="E142" s="4">
        <v>232</v>
      </c>
      <c r="F142" s="4">
        <f>ROUND(Source!BC126,O142)</f>
        <v>0</v>
      </c>
      <c r="G142" s="4" t="s">
        <v>159</v>
      </c>
      <c r="H142" s="4" t="s">
        <v>160</v>
      </c>
      <c r="I142" s="4"/>
      <c r="J142" s="4"/>
      <c r="K142" s="4">
        <v>232</v>
      </c>
      <c r="L142" s="4">
        <v>15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8">
      <c r="A143" s="4">
        <v>50</v>
      </c>
      <c r="B143" s="4">
        <v>0</v>
      </c>
      <c r="C143" s="4">
        <v>0</v>
      </c>
      <c r="D143" s="4">
        <v>1</v>
      </c>
      <c r="E143" s="4">
        <v>214</v>
      </c>
      <c r="F143" s="4">
        <f>ROUND(Source!AS126,O143)</f>
        <v>34147.89</v>
      </c>
      <c r="G143" s="4" t="s">
        <v>161</v>
      </c>
      <c r="H143" s="4" t="s">
        <v>162</v>
      </c>
      <c r="I143" s="4"/>
      <c r="J143" s="4"/>
      <c r="K143" s="4">
        <v>214</v>
      </c>
      <c r="L143" s="4">
        <v>16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34147.89</v>
      </c>
      <c r="X143" s="4">
        <v>1</v>
      </c>
      <c r="Y143" s="4">
        <v>34147.89</v>
      </c>
      <c r="Z143" s="4"/>
      <c r="AA143" s="4"/>
      <c r="AB143" s="4"/>
    </row>
    <row r="144" spans="1:28">
      <c r="A144" s="4">
        <v>50</v>
      </c>
      <c r="B144" s="4">
        <v>0</v>
      </c>
      <c r="C144" s="4">
        <v>0</v>
      </c>
      <c r="D144" s="4">
        <v>1</v>
      </c>
      <c r="E144" s="4">
        <v>215</v>
      </c>
      <c r="F144" s="4">
        <f>ROUND(Source!AT126,O144)</f>
        <v>32950.01</v>
      </c>
      <c r="G144" s="4" t="s">
        <v>163</v>
      </c>
      <c r="H144" s="4" t="s">
        <v>164</v>
      </c>
      <c r="I144" s="4"/>
      <c r="J144" s="4"/>
      <c r="K144" s="4">
        <v>215</v>
      </c>
      <c r="L144" s="4">
        <v>17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32950.01</v>
      </c>
      <c r="X144" s="4">
        <v>1</v>
      </c>
      <c r="Y144" s="4">
        <v>32950.01</v>
      </c>
      <c r="Z144" s="4"/>
      <c r="AA144" s="4"/>
      <c r="AB144" s="4"/>
    </row>
    <row r="145" spans="1:245">
      <c r="A145" s="4">
        <v>50</v>
      </c>
      <c r="B145" s="4">
        <v>0</v>
      </c>
      <c r="C145" s="4">
        <v>0</v>
      </c>
      <c r="D145" s="4">
        <v>1</v>
      </c>
      <c r="E145" s="4">
        <v>217</v>
      </c>
      <c r="F145" s="4">
        <f>ROUND(Source!AU126,O145)</f>
        <v>25769.35</v>
      </c>
      <c r="G145" s="4" t="s">
        <v>165</v>
      </c>
      <c r="H145" s="4" t="s">
        <v>166</v>
      </c>
      <c r="I145" s="4"/>
      <c r="J145" s="4"/>
      <c r="K145" s="4">
        <v>217</v>
      </c>
      <c r="L145" s="4">
        <v>18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25769.35</v>
      </c>
      <c r="X145" s="4">
        <v>1</v>
      </c>
      <c r="Y145" s="4">
        <v>25769.35</v>
      </c>
      <c r="Z145" s="4"/>
      <c r="AA145" s="4"/>
      <c r="AB145" s="4"/>
    </row>
    <row r="146" spans="1:245">
      <c r="A146" s="4">
        <v>50</v>
      </c>
      <c r="B146" s="4">
        <v>0</v>
      </c>
      <c r="C146" s="4">
        <v>0</v>
      </c>
      <c r="D146" s="4">
        <v>1</v>
      </c>
      <c r="E146" s="4">
        <v>230</v>
      </c>
      <c r="F146" s="4">
        <f>ROUND(Source!BA126,O146)</f>
        <v>0</v>
      </c>
      <c r="G146" s="4" t="s">
        <v>167</v>
      </c>
      <c r="H146" s="4" t="s">
        <v>168</v>
      </c>
      <c r="I146" s="4"/>
      <c r="J146" s="4"/>
      <c r="K146" s="4">
        <v>230</v>
      </c>
      <c r="L146" s="4">
        <v>19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0</v>
      </c>
      <c r="X146" s="4">
        <v>1</v>
      </c>
      <c r="Y146" s="4">
        <v>0</v>
      </c>
      <c r="Z146" s="4"/>
      <c r="AA146" s="4"/>
      <c r="AB146" s="4"/>
    </row>
    <row r="147" spans="1:245">
      <c r="A147" s="4">
        <v>50</v>
      </c>
      <c r="B147" s="4">
        <v>0</v>
      </c>
      <c r="C147" s="4">
        <v>0</v>
      </c>
      <c r="D147" s="4">
        <v>1</v>
      </c>
      <c r="E147" s="4">
        <v>206</v>
      </c>
      <c r="F147" s="4">
        <f>ROUND(Source!T126,O147)</f>
        <v>0</v>
      </c>
      <c r="G147" s="4" t="s">
        <v>169</v>
      </c>
      <c r="H147" s="4" t="s">
        <v>170</v>
      </c>
      <c r="I147" s="4"/>
      <c r="J147" s="4"/>
      <c r="K147" s="4">
        <v>206</v>
      </c>
      <c r="L147" s="4">
        <v>20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0</v>
      </c>
      <c r="X147" s="4">
        <v>1</v>
      </c>
      <c r="Y147" s="4">
        <v>0</v>
      </c>
      <c r="Z147" s="4"/>
      <c r="AA147" s="4"/>
      <c r="AB147" s="4"/>
    </row>
    <row r="148" spans="1:245">
      <c r="A148" s="4">
        <v>50</v>
      </c>
      <c r="B148" s="4">
        <v>0</v>
      </c>
      <c r="C148" s="4">
        <v>0</v>
      </c>
      <c r="D148" s="4">
        <v>1</v>
      </c>
      <c r="E148" s="4">
        <v>207</v>
      </c>
      <c r="F148" s="4">
        <f>Source!U126</f>
        <v>40.717479999999995</v>
      </c>
      <c r="G148" s="4" t="s">
        <v>171</v>
      </c>
      <c r="H148" s="4" t="s">
        <v>172</v>
      </c>
      <c r="I148" s="4"/>
      <c r="J148" s="4"/>
      <c r="K148" s="4">
        <v>207</v>
      </c>
      <c r="L148" s="4">
        <v>21</v>
      </c>
      <c r="M148" s="4">
        <v>3</v>
      </c>
      <c r="N148" s="4" t="s">
        <v>3</v>
      </c>
      <c r="O148" s="4">
        <v>-1</v>
      </c>
      <c r="P148" s="4"/>
      <c r="Q148" s="4"/>
      <c r="R148" s="4"/>
      <c r="S148" s="4"/>
      <c r="T148" s="4"/>
      <c r="U148" s="4"/>
      <c r="V148" s="4"/>
      <c r="W148" s="4">
        <v>40.717479999999995</v>
      </c>
      <c r="X148" s="4">
        <v>1</v>
      </c>
      <c r="Y148" s="4">
        <v>40.717479999999995</v>
      </c>
      <c r="Z148" s="4"/>
      <c r="AA148" s="4"/>
      <c r="AB148" s="4"/>
    </row>
    <row r="149" spans="1:245">
      <c r="A149" s="4">
        <v>50</v>
      </c>
      <c r="B149" s="4">
        <v>0</v>
      </c>
      <c r="C149" s="4">
        <v>0</v>
      </c>
      <c r="D149" s="4">
        <v>1</v>
      </c>
      <c r="E149" s="4">
        <v>208</v>
      </c>
      <c r="F149" s="4">
        <f>Source!V126</f>
        <v>0</v>
      </c>
      <c r="G149" s="4" t="s">
        <v>173</v>
      </c>
      <c r="H149" s="4" t="s">
        <v>174</v>
      </c>
      <c r="I149" s="4"/>
      <c r="J149" s="4"/>
      <c r="K149" s="4">
        <v>208</v>
      </c>
      <c r="L149" s="4">
        <v>22</v>
      </c>
      <c r="M149" s="4">
        <v>3</v>
      </c>
      <c r="N149" s="4" t="s">
        <v>3</v>
      </c>
      <c r="O149" s="4">
        <v>-1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245">
      <c r="A150" s="4">
        <v>50</v>
      </c>
      <c r="B150" s="4">
        <v>0</v>
      </c>
      <c r="C150" s="4">
        <v>0</v>
      </c>
      <c r="D150" s="4">
        <v>1</v>
      </c>
      <c r="E150" s="4">
        <v>209</v>
      </c>
      <c r="F150" s="4">
        <f>ROUND(Source!W126,O150)</f>
        <v>0</v>
      </c>
      <c r="G150" s="4" t="s">
        <v>175</v>
      </c>
      <c r="H150" s="4" t="s">
        <v>176</v>
      </c>
      <c r="I150" s="4"/>
      <c r="J150" s="4"/>
      <c r="K150" s="4">
        <v>209</v>
      </c>
      <c r="L150" s="4">
        <v>23</v>
      </c>
      <c r="M150" s="4">
        <v>3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245">
      <c r="A151" s="4">
        <v>50</v>
      </c>
      <c r="B151" s="4">
        <v>0</v>
      </c>
      <c r="C151" s="4">
        <v>0</v>
      </c>
      <c r="D151" s="4">
        <v>1</v>
      </c>
      <c r="E151" s="4">
        <v>233</v>
      </c>
      <c r="F151" s="4">
        <f>ROUND(Source!BD126,O151)</f>
        <v>0</v>
      </c>
      <c r="G151" s="4" t="s">
        <v>177</v>
      </c>
      <c r="H151" s="4" t="s">
        <v>178</v>
      </c>
      <c r="I151" s="4"/>
      <c r="J151" s="4"/>
      <c r="K151" s="4">
        <v>233</v>
      </c>
      <c r="L151" s="4">
        <v>24</v>
      </c>
      <c r="M151" s="4">
        <v>3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45">
      <c r="A152" s="4">
        <v>50</v>
      </c>
      <c r="B152" s="4">
        <v>0</v>
      </c>
      <c r="C152" s="4">
        <v>0</v>
      </c>
      <c r="D152" s="4">
        <v>1</v>
      </c>
      <c r="E152" s="4">
        <v>210</v>
      </c>
      <c r="F152" s="4">
        <f>ROUND(Source!X126,O152)</f>
        <v>28101.73</v>
      </c>
      <c r="G152" s="4" t="s">
        <v>179</v>
      </c>
      <c r="H152" s="4" t="s">
        <v>180</v>
      </c>
      <c r="I152" s="4"/>
      <c r="J152" s="4"/>
      <c r="K152" s="4">
        <v>210</v>
      </c>
      <c r="L152" s="4">
        <v>25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28101.73</v>
      </c>
      <c r="X152" s="4">
        <v>1</v>
      </c>
      <c r="Y152" s="4">
        <v>28101.73</v>
      </c>
      <c r="Z152" s="4"/>
      <c r="AA152" s="4"/>
      <c r="AB152" s="4"/>
    </row>
    <row r="153" spans="1:245">
      <c r="A153" s="4">
        <v>50</v>
      </c>
      <c r="B153" s="4">
        <v>0</v>
      </c>
      <c r="C153" s="4">
        <v>0</v>
      </c>
      <c r="D153" s="4">
        <v>1</v>
      </c>
      <c r="E153" s="4">
        <v>211</v>
      </c>
      <c r="F153" s="4">
        <f>ROUND(Source!Y126,O153)</f>
        <v>14643.23</v>
      </c>
      <c r="G153" s="4" t="s">
        <v>181</v>
      </c>
      <c r="H153" s="4" t="s">
        <v>182</v>
      </c>
      <c r="I153" s="4"/>
      <c r="J153" s="4"/>
      <c r="K153" s="4">
        <v>211</v>
      </c>
      <c r="L153" s="4">
        <v>26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14643.23</v>
      </c>
      <c r="X153" s="4">
        <v>1</v>
      </c>
      <c r="Y153" s="4">
        <v>14643.23</v>
      </c>
      <c r="Z153" s="4"/>
      <c r="AA153" s="4"/>
      <c r="AB153" s="4"/>
    </row>
    <row r="154" spans="1:245">
      <c r="A154" s="4">
        <v>50</v>
      </c>
      <c r="B154" s="4">
        <v>0</v>
      </c>
      <c r="C154" s="4">
        <v>0</v>
      </c>
      <c r="D154" s="4">
        <v>1</v>
      </c>
      <c r="E154" s="4">
        <v>224</v>
      </c>
      <c r="F154" s="4">
        <f>ROUND(Source!AR126,O154)</f>
        <v>112009.23</v>
      </c>
      <c r="G154" s="4" t="s">
        <v>183</v>
      </c>
      <c r="H154" s="4" t="s">
        <v>184</v>
      </c>
      <c r="I154" s="4"/>
      <c r="J154" s="4"/>
      <c r="K154" s="4">
        <v>224</v>
      </c>
      <c r="L154" s="4">
        <v>27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112009.23</v>
      </c>
      <c r="X154" s="4">
        <v>1</v>
      </c>
      <c r="Y154" s="4">
        <v>112009.23</v>
      </c>
      <c r="Z154" s="4"/>
      <c r="AA154" s="4"/>
      <c r="AB154" s="4"/>
    </row>
    <row r="156" spans="1:245">
      <c r="A156" s="1">
        <v>4</v>
      </c>
      <c r="B156" s="1">
        <v>1</v>
      </c>
      <c r="C156" s="1"/>
      <c r="D156" s="1">
        <f>ROW(A210)</f>
        <v>210</v>
      </c>
      <c r="E156" s="1"/>
      <c r="F156" s="1" t="s">
        <v>11</v>
      </c>
      <c r="G156" s="1" t="s">
        <v>266</v>
      </c>
      <c r="H156" s="1" t="s">
        <v>3</v>
      </c>
      <c r="I156" s="1">
        <v>0</v>
      </c>
      <c r="J156" s="1"/>
      <c r="K156" s="1">
        <v>0</v>
      </c>
      <c r="L156" s="1"/>
      <c r="M156" s="1" t="s">
        <v>3</v>
      </c>
      <c r="N156" s="1"/>
      <c r="O156" s="1"/>
      <c r="P156" s="1"/>
      <c r="Q156" s="1"/>
      <c r="R156" s="1"/>
      <c r="S156" s="1">
        <v>0</v>
      </c>
      <c r="T156" s="1"/>
      <c r="U156" s="1" t="s">
        <v>3</v>
      </c>
      <c r="V156" s="1">
        <v>0</v>
      </c>
      <c r="W156" s="1"/>
      <c r="X156" s="1"/>
      <c r="Y156" s="1"/>
      <c r="Z156" s="1"/>
      <c r="AA156" s="1"/>
      <c r="AB156" s="1" t="s">
        <v>3</v>
      </c>
      <c r="AC156" s="1" t="s">
        <v>3</v>
      </c>
      <c r="AD156" s="1" t="s">
        <v>3</v>
      </c>
      <c r="AE156" s="1" t="s">
        <v>3</v>
      </c>
      <c r="AF156" s="1" t="s">
        <v>3</v>
      </c>
      <c r="AG156" s="1" t="s">
        <v>3</v>
      </c>
      <c r="AH156" s="1"/>
      <c r="AI156" s="1"/>
      <c r="AJ156" s="1"/>
      <c r="AK156" s="1"/>
      <c r="AL156" s="1"/>
      <c r="AM156" s="1"/>
      <c r="AN156" s="1"/>
      <c r="AO156" s="1"/>
      <c r="AP156" s="1" t="s">
        <v>3</v>
      </c>
      <c r="AQ156" s="1" t="s">
        <v>3</v>
      </c>
      <c r="AR156" s="1" t="s">
        <v>3</v>
      </c>
      <c r="AS156" s="1"/>
      <c r="AT156" s="1"/>
      <c r="AU156" s="1"/>
      <c r="AV156" s="1"/>
      <c r="AW156" s="1"/>
      <c r="AX156" s="1"/>
      <c r="AY156" s="1"/>
      <c r="AZ156" s="1" t="s">
        <v>3</v>
      </c>
      <c r="BA156" s="1"/>
      <c r="BB156" s="1" t="s">
        <v>3</v>
      </c>
      <c r="BC156" s="1" t="s">
        <v>3</v>
      </c>
      <c r="BD156" s="1" t="s">
        <v>3</v>
      </c>
      <c r="BE156" s="1" t="s">
        <v>3</v>
      </c>
      <c r="BF156" s="1" t="s">
        <v>3</v>
      </c>
      <c r="BG156" s="1" t="s">
        <v>3</v>
      </c>
      <c r="BH156" s="1" t="s">
        <v>3</v>
      </c>
      <c r="BI156" s="1" t="s">
        <v>3</v>
      </c>
      <c r="BJ156" s="1" t="s">
        <v>3</v>
      </c>
      <c r="BK156" s="1" t="s">
        <v>3</v>
      </c>
      <c r="BL156" s="1" t="s">
        <v>3</v>
      </c>
      <c r="BM156" s="1" t="s">
        <v>3</v>
      </c>
      <c r="BN156" s="1" t="s">
        <v>3</v>
      </c>
      <c r="BO156" s="1" t="s">
        <v>3</v>
      </c>
      <c r="BP156" s="1" t="s">
        <v>3</v>
      </c>
      <c r="BQ156" s="1"/>
      <c r="BR156" s="1"/>
      <c r="BS156" s="1"/>
      <c r="BT156" s="1"/>
      <c r="BU156" s="1"/>
      <c r="BV156" s="1"/>
      <c r="BW156" s="1"/>
      <c r="BX156" s="1">
        <v>0</v>
      </c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>
        <v>0</v>
      </c>
    </row>
    <row r="158" spans="1:245">
      <c r="A158" s="2">
        <v>52</v>
      </c>
      <c r="B158" s="2">
        <f t="shared" ref="B158:G158" si="136">B210</f>
        <v>1</v>
      </c>
      <c r="C158" s="2">
        <f t="shared" si="136"/>
        <v>4</v>
      </c>
      <c r="D158" s="2">
        <f t="shared" si="136"/>
        <v>156</v>
      </c>
      <c r="E158" s="2">
        <f t="shared" si="136"/>
        <v>0</v>
      </c>
      <c r="F158" s="2" t="str">
        <f t="shared" si="136"/>
        <v>Новый раздел</v>
      </c>
      <c r="G158" s="2" t="str">
        <f t="shared" si="136"/>
        <v>Освещение (коридор)</v>
      </c>
      <c r="H158" s="2"/>
      <c r="I158" s="2"/>
      <c r="J158" s="2"/>
      <c r="K158" s="2"/>
      <c r="L158" s="2"/>
      <c r="M158" s="2"/>
      <c r="N158" s="2"/>
      <c r="O158" s="2">
        <f t="shared" ref="O158:AT158" si="137">O210</f>
        <v>89573.69</v>
      </c>
      <c r="P158" s="2">
        <f t="shared" si="137"/>
        <v>51772.01</v>
      </c>
      <c r="Q158" s="2">
        <f t="shared" si="137"/>
        <v>654.51</v>
      </c>
      <c r="R158" s="2">
        <f t="shared" si="137"/>
        <v>429.17</v>
      </c>
      <c r="S158" s="2">
        <f t="shared" si="137"/>
        <v>37147.17</v>
      </c>
      <c r="T158" s="2">
        <f t="shared" si="137"/>
        <v>0</v>
      </c>
      <c r="U158" s="2">
        <f t="shared" si="137"/>
        <v>47.56897579999999</v>
      </c>
      <c r="V158" s="2">
        <f t="shared" si="137"/>
        <v>0</v>
      </c>
      <c r="W158" s="2">
        <f t="shared" si="137"/>
        <v>0</v>
      </c>
      <c r="X158" s="2">
        <f t="shared" si="137"/>
        <v>33391.53</v>
      </c>
      <c r="Y158" s="2">
        <f t="shared" si="137"/>
        <v>17194.53</v>
      </c>
      <c r="Z158" s="2">
        <f t="shared" si="137"/>
        <v>0</v>
      </c>
      <c r="AA158" s="2">
        <f t="shared" si="137"/>
        <v>0</v>
      </c>
      <c r="AB158" s="2">
        <f t="shared" si="137"/>
        <v>89573.69</v>
      </c>
      <c r="AC158" s="2">
        <f t="shared" si="137"/>
        <v>51772.01</v>
      </c>
      <c r="AD158" s="2">
        <f t="shared" si="137"/>
        <v>654.51</v>
      </c>
      <c r="AE158" s="2">
        <f t="shared" si="137"/>
        <v>429.17</v>
      </c>
      <c r="AF158" s="2">
        <f t="shared" si="137"/>
        <v>37147.17</v>
      </c>
      <c r="AG158" s="2">
        <f t="shared" si="137"/>
        <v>0</v>
      </c>
      <c r="AH158" s="2">
        <f t="shared" si="137"/>
        <v>47.56897579999999</v>
      </c>
      <c r="AI158" s="2">
        <f t="shared" si="137"/>
        <v>0</v>
      </c>
      <c r="AJ158" s="2">
        <f t="shared" si="137"/>
        <v>0</v>
      </c>
      <c r="AK158" s="2">
        <f t="shared" si="137"/>
        <v>33391.53</v>
      </c>
      <c r="AL158" s="2">
        <f t="shared" si="137"/>
        <v>17194.53</v>
      </c>
      <c r="AM158" s="2">
        <f t="shared" si="137"/>
        <v>0</v>
      </c>
      <c r="AN158" s="2">
        <f t="shared" si="137"/>
        <v>0</v>
      </c>
      <c r="AO158" s="2">
        <f t="shared" si="137"/>
        <v>0</v>
      </c>
      <c r="AP158" s="2">
        <f t="shared" si="137"/>
        <v>0</v>
      </c>
      <c r="AQ158" s="2">
        <f t="shared" si="137"/>
        <v>0</v>
      </c>
      <c r="AR158" s="2">
        <f t="shared" si="137"/>
        <v>140159.75</v>
      </c>
      <c r="AS158" s="2">
        <f t="shared" si="137"/>
        <v>3058.7</v>
      </c>
      <c r="AT158" s="2">
        <f t="shared" si="137"/>
        <v>110640.32000000001</v>
      </c>
      <c r="AU158" s="2">
        <f t="shared" ref="AU158:BZ158" si="138">AU210</f>
        <v>26460.73</v>
      </c>
      <c r="AV158" s="2">
        <f t="shared" si="138"/>
        <v>51772.01</v>
      </c>
      <c r="AW158" s="2">
        <f t="shared" si="138"/>
        <v>51772.01</v>
      </c>
      <c r="AX158" s="2">
        <f t="shared" si="138"/>
        <v>0</v>
      </c>
      <c r="AY158" s="2">
        <f t="shared" si="138"/>
        <v>51772.01</v>
      </c>
      <c r="AZ158" s="2">
        <f t="shared" si="138"/>
        <v>0</v>
      </c>
      <c r="BA158" s="2">
        <f t="shared" si="138"/>
        <v>0</v>
      </c>
      <c r="BB158" s="2">
        <f t="shared" si="138"/>
        <v>0</v>
      </c>
      <c r="BC158" s="2">
        <f t="shared" si="138"/>
        <v>0</v>
      </c>
      <c r="BD158" s="2">
        <f t="shared" si="138"/>
        <v>0</v>
      </c>
      <c r="BE158" s="2">
        <f t="shared" si="138"/>
        <v>0</v>
      </c>
      <c r="BF158" s="2">
        <f t="shared" si="138"/>
        <v>0</v>
      </c>
      <c r="BG158" s="2">
        <f t="shared" si="138"/>
        <v>0</v>
      </c>
      <c r="BH158" s="2">
        <f t="shared" si="138"/>
        <v>0</v>
      </c>
      <c r="BI158" s="2">
        <f t="shared" si="138"/>
        <v>0</v>
      </c>
      <c r="BJ158" s="2">
        <f t="shared" si="138"/>
        <v>0</v>
      </c>
      <c r="BK158" s="2">
        <f t="shared" si="138"/>
        <v>0</v>
      </c>
      <c r="BL158" s="2">
        <f t="shared" si="138"/>
        <v>0</v>
      </c>
      <c r="BM158" s="2">
        <f t="shared" si="138"/>
        <v>0</v>
      </c>
      <c r="BN158" s="2">
        <f t="shared" si="138"/>
        <v>0</v>
      </c>
      <c r="BO158" s="2">
        <f t="shared" si="138"/>
        <v>0</v>
      </c>
      <c r="BP158" s="2">
        <f t="shared" si="138"/>
        <v>0</v>
      </c>
      <c r="BQ158" s="2">
        <f t="shared" si="138"/>
        <v>0</v>
      </c>
      <c r="BR158" s="2">
        <f t="shared" si="138"/>
        <v>0</v>
      </c>
      <c r="BS158" s="2">
        <f t="shared" si="138"/>
        <v>0</v>
      </c>
      <c r="BT158" s="2">
        <f t="shared" si="138"/>
        <v>0</v>
      </c>
      <c r="BU158" s="2">
        <f t="shared" si="138"/>
        <v>0</v>
      </c>
      <c r="BV158" s="2">
        <f t="shared" si="138"/>
        <v>0</v>
      </c>
      <c r="BW158" s="2">
        <f t="shared" si="138"/>
        <v>0</v>
      </c>
      <c r="BX158" s="2">
        <f t="shared" si="138"/>
        <v>0</v>
      </c>
      <c r="BY158" s="2">
        <f t="shared" si="138"/>
        <v>0</v>
      </c>
      <c r="BZ158" s="2">
        <f t="shared" si="138"/>
        <v>0</v>
      </c>
      <c r="CA158" s="2">
        <f t="shared" ref="CA158:DF158" si="139">CA210</f>
        <v>140159.75</v>
      </c>
      <c r="CB158" s="2">
        <f t="shared" si="139"/>
        <v>3058.7</v>
      </c>
      <c r="CC158" s="2">
        <f t="shared" si="139"/>
        <v>110640.32000000001</v>
      </c>
      <c r="CD158" s="2">
        <f t="shared" si="139"/>
        <v>26460.73</v>
      </c>
      <c r="CE158" s="2">
        <f t="shared" si="139"/>
        <v>51772.01</v>
      </c>
      <c r="CF158" s="2">
        <f t="shared" si="139"/>
        <v>51772.01</v>
      </c>
      <c r="CG158" s="2">
        <f t="shared" si="139"/>
        <v>0</v>
      </c>
      <c r="CH158" s="2">
        <f t="shared" si="139"/>
        <v>51772.01</v>
      </c>
      <c r="CI158" s="2">
        <f t="shared" si="139"/>
        <v>0</v>
      </c>
      <c r="CJ158" s="2">
        <f t="shared" si="139"/>
        <v>0</v>
      </c>
      <c r="CK158" s="2">
        <f t="shared" si="139"/>
        <v>0</v>
      </c>
      <c r="CL158" s="2">
        <f t="shared" si="139"/>
        <v>0</v>
      </c>
      <c r="CM158" s="2">
        <f t="shared" si="139"/>
        <v>0</v>
      </c>
      <c r="CN158" s="2">
        <f t="shared" si="139"/>
        <v>0</v>
      </c>
      <c r="CO158" s="2">
        <f t="shared" si="139"/>
        <v>0</v>
      </c>
      <c r="CP158" s="2">
        <f t="shared" si="139"/>
        <v>0</v>
      </c>
      <c r="CQ158" s="2">
        <f t="shared" si="139"/>
        <v>0</v>
      </c>
      <c r="CR158" s="2">
        <f t="shared" si="139"/>
        <v>0</v>
      </c>
      <c r="CS158" s="2">
        <f t="shared" si="139"/>
        <v>0</v>
      </c>
      <c r="CT158" s="2">
        <f t="shared" si="139"/>
        <v>0</v>
      </c>
      <c r="CU158" s="2">
        <f t="shared" si="139"/>
        <v>0</v>
      </c>
      <c r="CV158" s="2">
        <f t="shared" si="139"/>
        <v>0</v>
      </c>
      <c r="CW158" s="2">
        <f t="shared" si="139"/>
        <v>0</v>
      </c>
      <c r="CX158" s="2">
        <f t="shared" si="139"/>
        <v>0</v>
      </c>
      <c r="CY158" s="2">
        <f t="shared" si="139"/>
        <v>0</v>
      </c>
      <c r="CZ158" s="2">
        <f t="shared" si="139"/>
        <v>0</v>
      </c>
      <c r="DA158" s="2">
        <f t="shared" si="139"/>
        <v>0</v>
      </c>
      <c r="DB158" s="2">
        <f t="shared" si="139"/>
        <v>0</v>
      </c>
      <c r="DC158" s="2">
        <f t="shared" si="139"/>
        <v>0</v>
      </c>
      <c r="DD158" s="2">
        <f t="shared" si="139"/>
        <v>0</v>
      </c>
      <c r="DE158" s="2">
        <f t="shared" si="139"/>
        <v>0</v>
      </c>
      <c r="DF158" s="2">
        <f t="shared" si="139"/>
        <v>0</v>
      </c>
      <c r="DG158" s="3">
        <f t="shared" ref="DG158:EL158" si="140">DG210</f>
        <v>0</v>
      </c>
      <c r="DH158" s="3">
        <f t="shared" si="140"/>
        <v>0</v>
      </c>
      <c r="DI158" s="3">
        <f t="shared" si="140"/>
        <v>0</v>
      </c>
      <c r="DJ158" s="3">
        <f t="shared" si="140"/>
        <v>0</v>
      </c>
      <c r="DK158" s="3">
        <f t="shared" si="140"/>
        <v>0</v>
      </c>
      <c r="DL158" s="3">
        <f t="shared" si="140"/>
        <v>0</v>
      </c>
      <c r="DM158" s="3">
        <f t="shared" si="140"/>
        <v>0</v>
      </c>
      <c r="DN158" s="3">
        <f t="shared" si="140"/>
        <v>0</v>
      </c>
      <c r="DO158" s="3">
        <f t="shared" si="140"/>
        <v>0</v>
      </c>
      <c r="DP158" s="3">
        <f t="shared" si="140"/>
        <v>0</v>
      </c>
      <c r="DQ158" s="3">
        <f t="shared" si="140"/>
        <v>0</v>
      </c>
      <c r="DR158" s="3">
        <f t="shared" si="140"/>
        <v>0</v>
      </c>
      <c r="DS158" s="3">
        <f t="shared" si="140"/>
        <v>0</v>
      </c>
      <c r="DT158" s="3">
        <f t="shared" si="140"/>
        <v>0</v>
      </c>
      <c r="DU158" s="3">
        <f t="shared" si="140"/>
        <v>0</v>
      </c>
      <c r="DV158" s="3">
        <f t="shared" si="140"/>
        <v>0</v>
      </c>
      <c r="DW158" s="3">
        <f t="shared" si="140"/>
        <v>0</v>
      </c>
      <c r="DX158" s="3">
        <f t="shared" si="140"/>
        <v>0</v>
      </c>
      <c r="DY158" s="3">
        <f t="shared" si="140"/>
        <v>0</v>
      </c>
      <c r="DZ158" s="3">
        <f t="shared" si="140"/>
        <v>0</v>
      </c>
      <c r="EA158" s="3">
        <f t="shared" si="140"/>
        <v>0</v>
      </c>
      <c r="EB158" s="3">
        <f t="shared" si="140"/>
        <v>0</v>
      </c>
      <c r="EC158" s="3">
        <f t="shared" si="140"/>
        <v>0</v>
      </c>
      <c r="ED158" s="3">
        <f t="shared" si="140"/>
        <v>0</v>
      </c>
      <c r="EE158" s="3">
        <f t="shared" si="140"/>
        <v>0</v>
      </c>
      <c r="EF158" s="3">
        <f t="shared" si="140"/>
        <v>0</v>
      </c>
      <c r="EG158" s="3">
        <f t="shared" si="140"/>
        <v>0</v>
      </c>
      <c r="EH158" s="3">
        <f t="shared" si="140"/>
        <v>0</v>
      </c>
      <c r="EI158" s="3">
        <f t="shared" si="140"/>
        <v>0</v>
      </c>
      <c r="EJ158" s="3">
        <f t="shared" si="140"/>
        <v>0</v>
      </c>
      <c r="EK158" s="3">
        <f t="shared" si="140"/>
        <v>0</v>
      </c>
      <c r="EL158" s="3">
        <f t="shared" si="140"/>
        <v>0</v>
      </c>
      <c r="EM158" s="3">
        <f t="shared" ref="EM158:FR158" si="141">EM210</f>
        <v>0</v>
      </c>
      <c r="EN158" s="3">
        <f t="shared" si="141"/>
        <v>0</v>
      </c>
      <c r="EO158" s="3">
        <f t="shared" si="141"/>
        <v>0</v>
      </c>
      <c r="EP158" s="3">
        <f t="shared" si="141"/>
        <v>0</v>
      </c>
      <c r="EQ158" s="3">
        <f t="shared" si="141"/>
        <v>0</v>
      </c>
      <c r="ER158" s="3">
        <f t="shared" si="141"/>
        <v>0</v>
      </c>
      <c r="ES158" s="3">
        <f t="shared" si="141"/>
        <v>0</v>
      </c>
      <c r="ET158" s="3">
        <f t="shared" si="141"/>
        <v>0</v>
      </c>
      <c r="EU158" s="3">
        <f t="shared" si="141"/>
        <v>0</v>
      </c>
      <c r="EV158" s="3">
        <f t="shared" si="141"/>
        <v>0</v>
      </c>
      <c r="EW158" s="3">
        <f t="shared" si="141"/>
        <v>0</v>
      </c>
      <c r="EX158" s="3">
        <f t="shared" si="141"/>
        <v>0</v>
      </c>
      <c r="EY158" s="3">
        <f t="shared" si="141"/>
        <v>0</v>
      </c>
      <c r="EZ158" s="3">
        <f t="shared" si="141"/>
        <v>0</v>
      </c>
      <c r="FA158" s="3">
        <f t="shared" si="141"/>
        <v>0</v>
      </c>
      <c r="FB158" s="3">
        <f t="shared" si="141"/>
        <v>0</v>
      </c>
      <c r="FC158" s="3">
        <f t="shared" si="141"/>
        <v>0</v>
      </c>
      <c r="FD158" s="3">
        <f t="shared" si="141"/>
        <v>0</v>
      </c>
      <c r="FE158" s="3">
        <f t="shared" si="141"/>
        <v>0</v>
      </c>
      <c r="FF158" s="3">
        <f t="shared" si="141"/>
        <v>0</v>
      </c>
      <c r="FG158" s="3">
        <f t="shared" si="141"/>
        <v>0</v>
      </c>
      <c r="FH158" s="3">
        <f t="shared" si="141"/>
        <v>0</v>
      </c>
      <c r="FI158" s="3">
        <f t="shared" si="141"/>
        <v>0</v>
      </c>
      <c r="FJ158" s="3">
        <f t="shared" si="141"/>
        <v>0</v>
      </c>
      <c r="FK158" s="3">
        <f t="shared" si="141"/>
        <v>0</v>
      </c>
      <c r="FL158" s="3">
        <f t="shared" si="141"/>
        <v>0</v>
      </c>
      <c r="FM158" s="3">
        <f t="shared" si="141"/>
        <v>0</v>
      </c>
      <c r="FN158" s="3">
        <f t="shared" si="141"/>
        <v>0</v>
      </c>
      <c r="FO158" s="3">
        <f t="shared" si="141"/>
        <v>0</v>
      </c>
      <c r="FP158" s="3">
        <f t="shared" si="141"/>
        <v>0</v>
      </c>
      <c r="FQ158" s="3">
        <f t="shared" si="141"/>
        <v>0</v>
      </c>
      <c r="FR158" s="3">
        <f t="shared" si="141"/>
        <v>0</v>
      </c>
      <c r="FS158" s="3">
        <f t="shared" ref="FS158:GX158" si="142">FS210</f>
        <v>0</v>
      </c>
      <c r="FT158" s="3">
        <f t="shared" si="142"/>
        <v>0</v>
      </c>
      <c r="FU158" s="3">
        <f t="shared" si="142"/>
        <v>0</v>
      </c>
      <c r="FV158" s="3">
        <f t="shared" si="142"/>
        <v>0</v>
      </c>
      <c r="FW158" s="3">
        <f t="shared" si="142"/>
        <v>0</v>
      </c>
      <c r="FX158" s="3">
        <f t="shared" si="142"/>
        <v>0</v>
      </c>
      <c r="FY158" s="3">
        <f t="shared" si="142"/>
        <v>0</v>
      </c>
      <c r="FZ158" s="3">
        <f t="shared" si="142"/>
        <v>0</v>
      </c>
      <c r="GA158" s="3">
        <f t="shared" si="142"/>
        <v>0</v>
      </c>
      <c r="GB158" s="3">
        <f t="shared" si="142"/>
        <v>0</v>
      </c>
      <c r="GC158" s="3">
        <f t="shared" si="142"/>
        <v>0</v>
      </c>
      <c r="GD158" s="3">
        <f t="shared" si="142"/>
        <v>0</v>
      </c>
      <c r="GE158" s="3">
        <f t="shared" si="142"/>
        <v>0</v>
      </c>
      <c r="GF158" s="3">
        <f t="shared" si="142"/>
        <v>0</v>
      </c>
      <c r="GG158" s="3">
        <f t="shared" si="142"/>
        <v>0</v>
      </c>
      <c r="GH158" s="3">
        <f t="shared" si="142"/>
        <v>0</v>
      </c>
      <c r="GI158" s="3">
        <f t="shared" si="142"/>
        <v>0</v>
      </c>
      <c r="GJ158" s="3">
        <f t="shared" si="142"/>
        <v>0</v>
      </c>
      <c r="GK158" s="3">
        <f t="shared" si="142"/>
        <v>0</v>
      </c>
      <c r="GL158" s="3">
        <f t="shared" si="142"/>
        <v>0</v>
      </c>
      <c r="GM158" s="3">
        <f t="shared" si="142"/>
        <v>0</v>
      </c>
      <c r="GN158" s="3">
        <f t="shared" si="142"/>
        <v>0</v>
      </c>
      <c r="GO158" s="3">
        <f t="shared" si="142"/>
        <v>0</v>
      </c>
      <c r="GP158" s="3">
        <f t="shared" si="142"/>
        <v>0</v>
      </c>
      <c r="GQ158" s="3">
        <f t="shared" si="142"/>
        <v>0</v>
      </c>
      <c r="GR158" s="3">
        <f t="shared" si="142"/>
        <v>0</v>
      </c>
      <c r="GS158" s="3">
        <f t="shared" si="142"/>
        <v>0</v>
      </c>
      <c r="GT158" s="3">
        <f t="shared" si="142"/>
        <v>0</v>
      </c>
      <c r="GU158" s="3">
        <f t="shared" si="142"/>
        <v>0</v>
      </c>
      <c r="GV158" s="3">
        <f t="shared" si="142"/>
        <v>0</v>
      </c>
      <c r="GW158" s="3">
        <f t="shared" si="142"/>
        <v>0</v>
      </c>
      <c r="GX158" s="3">
        <f t="shared" si="142"/>
        <v>0</v>
      </c>
    </row>
    <row r="160" spans="1:245">
      <c r="A160">
        <v>17</v>
      </c>
      <c r="B160">
        <v>1</v>
      </c>
      <c r="E160" t="s">
        <v>267</v>
      </c>
      <c r="F160" t="s">
        <v>14</v>
      </c>
      <c r="G160" t="s">
        <v>59</v>
      </c>
      <c r="H160" t="s">
        <v>16</v>
      </c>
      <c r="I160">
        <v>1</v>
      </c>
      <c r="J160">
        <v>0</v>
      </c>
      <c r="K160">
        <v>1</v>
      </c>
      <c r="O160">
        <f t="shared" ref="O160:O191" si="143">ROUND(CP160,2)</f>
        <v>1322.74</v>
      </c>
      <c r="P160">
        <f t="shared" ref="P160:P191" si="144">ROUND((ROUND((AC160*AW160*I160),2)*BC160),2)</f>
        <v>153.38999999999999</v>
      </c>
      <c r="Q160">
        <f>(ROUND((ROUND((((ET160*1.2))*AV160*I160),2)*BB160),2)+ROUND((ROUND(((AE160-((EU160*1.2)))*AV160*I160),2)*BS160),2))</f>
        <v>11.84</v>
      </c>
      <c r="R160">
        <f>(ROUND((ROUND((((EU160*1.2))*AV160*I160),2)*BS160),2)+ROUND((ROUND(((AE160-((EU160*1.2)))*AV160*I160),2)*BS160),2))</f>
        <v>0</v>
      </c>
      <c r="S160">
        <f t="shared" ref="S160:S191" si="145">ROUND((ROUND((AF160*AV160*I160),2)*BA160),2)</f>
        <v>1157.51</v>
      </c>
      <c r="T160">
        <f t="shared" ref="T160:T191" si="146">ROUND(CU160*I160,2)</f>
        <v>0</v>
      </c>
      <c r="U160">
        <f t="shared" ref="U160:U191" si="147">CV160*I160</f>
        <v>1.6080000000000001</v>
      </c>
      <c r="V160">
        <f t="shared" ref="V160:V191" si="148">CW160*I160</f>
        <v>0</v>
      </c>
      <c r="W160">
        <f t="shared" ref="W160:W191" si="149">ROUND(CX160*I160,2)</f>
        <v>0</v>
      </c>
      <c r="X160">
        <f>(ROUND((((S160+ROUND((ROUND((((EU160*1.2))*AV160*I160),2)*BS160),2))*AT160)/100),2)+ROUND(((ROUND((ROUND(((AE160-((EU160*1.2)))*AV160*I160),2)*BS160),2)*AT160)/100),2))</f>
        <v>1122.78</v>
      </c>
      <c r="Y160">
        <f>(ROUND((((S160+ROUND((ROUND((((EU160*1.2))*AV160*I160),2)*BS160),2))*AU160)/100),2)+ROUND(((ROUND((ROUND(((AE160-((EU160*1.2)))*AV160*I160),2)*BS160),2)*AU160)/100),2))</f>
        <v>590.33000000000004</v>
      </c>
      <c r="AA160">
        <v>76282491</v>
      </c>
      <c r="AB160">
        <f t="shared" ref="AB160:AB191" si="150">ROUND((AC160+AD160+AF160),6)</f>
        <v>46.258000000000003</v>
      </c>
      <c r="AC160">
        <f>ROUND(((ES160*1)),6)</f>
        <v>25.27</v>
      </c>
      <c r="AD160">
        <f>ROUND(((((ET160*1.2))-((EU160*1.2)))+AE160),6)</f>
        <v>0.94799999999999995</v>
      </c>
      <c r="AE160">
        <f>ROUND(((EU160*1.2)),6)</f>
        <v>0</v>
      </c>
      <c r="AF160">
        <f>ROUND(((EV160*1.2)),6)</f>
        <v>20.04</v>
      </c>
      <c r="AG160">
        <f t="shared" ref="AG160:AG191" si="151">ROUND((AP160),6)</f>
        <v>0</v>
      </c>
      <c r="AH160">
        <f>((EW160*1.2))</f>
        <v>1.6080000000000001</v>
      </c>
      <c r="AI160">
        <f>((EX160*1.2))</f>
        <v>0</v>
      </c>
      <c r="AJ160">
        <f t="shared" ref="AJ160:AJ191" si="152">(AS160)</f>
        <v>0</v>
      </c>
      <c r="AK160">
        <v>42.76</v>
      </c>
      <c r="AL160">
        <v>25.27</v>
      </c>
      <c r="AM160">
        <v>0.79</v>
      </c>
      <c r="AN160">
        <v>0</v>
      </c>
      <c r="AO160">
        <v>16.7</v>
      </c>
      <c r="AP160">
        <v>0</v>
      </c>
      <c r="AQ160">
        <v>1.34</v>
      </c>
      <c r="AR160">
        <v>0</v>
      </c>
      <c r="AS160">
        <v>0</v>
      </c>
      <c r="AT160">
        <v>97</v>
      </c>
      <c r="AU160">
        <v>51</v>
      </c>
      <c r="AV160">
        <v>1</v>
      </c>
      <c r="AW160">
        <v>1</v>
      </c>
      <c r="AZ160">
        <v>1</v>
      </c>
      <c r="BA160">
        <v>57.76</v>
      </c>
      <c r="BB160">
        <v>12.46</v>
      </c>
      <c r="BC160">
        <v>6.07</v>
      </c>
      <c r="BD160" t="s">
        <v>3</v>
      </c>
      <c r="BE160" t="s">
        <v>3</v>
      </c>
      <c r="BF160" t="s">
        <v>3</v>
      </c>
      <c r="BG160" t="s">
        <v>3</v>
      </c>
      <c r="BH160">
        <v>0</v>
      </c>
      <c r="BI160">
        <v>2</v>
      </c>
      <c r="BJ160" t="s">
        <v>17</v>
      </c>
      <c r="BM160">
        <v>67</v>
      </c>
      <c r="BN160">
        <v>0</v>
      </c>
      <c r="BO160" t="s">
        <v>14</v>
      </c>
      <c r="BP160">
        <v>1</v>
      </c>
      <c r="BQ160">
        <v>40</v>
      </c>
      <c r="BR160">
        <v>0</v>
      </c>
      <c r="BS160">
        <v>57.76</v>
      </c>
      <c r="BT160">
        <v>1</v>
      </c>
      <c r="BU160">
        <v>1</v>
      </c>
      <c r="BV160">
        <v>1</v>
      </c>
      <c r="BW160">
        <v>1</v>
      </c>
      <c r="BX160">
        <v>1</v>
      </c>
      <c r="BY160" t="s">
        <v>3</v>
      </c>
      <c r="BZ160">
        <v>97</v>
      </c>
      <c r="CA160">
        <v>51</v>
      </c>
      <c r="CB160" t="s">
        <v>3</v>
      </c>
      <c r="CE160">
        <v>1566</v>
      </c>
      <c r="CF160">
        <v>0</v>
      </c>
      <c r="CG160">
        <v>0</v>
      </c>
      <c r="CM160">
        <v>0</v>
      </c>
      <c r="CN160" t="s">
        <v>454</v>
      </c>
      <c r="CO160">
        <v>0</v>
      </c>
      <c r="CP160">
        <f t="shared" ref="CP160:CP191" si="153">(P160+Q160+S160)</f>
        <v>1322.74</v>
      </c>
      <c r="CQ160">
        <f t="shared" ref="CQ160:CQ191" si="154">ROUND((ROUND((AC160*AW160*1),2)*BC160),2)</f>
        <v>153.38999999999999</v>
      </c>
      <c r="CR160">
        <f>(ROUND((ROUND((((ET160*1.2))*AV160*1),2)*BB160),2)+ROUND((ROUND(((AE160-((EU160*1.2)))*AV160*1),2)*BS160),2))</f>
        <v>11.84</v>
      </c>
      <c r="CS160">
        <f>(ROUND((ROUND((((EU160*1.2))*AV160*1),2)*BS160),2)+ROUND((ROUND(((AE160-((EU160*1.2)))*AV160*1),2)*BS160),2))</f>
        <v>0</v>
      </c>
      <c r="CT160">
        <f t="shared" ref="CT160:CT191" si="155">ROUND((ROUND((AF160*AV160*1),2)*BA160),2)</f>
        <v>1157.51</v>
      </c>
      <c r="CU160">
        <f t="shared" ref="CU160:CU191" si="156">AG160</f>
        <v>0</v>
      </c>
      <c r="CV160">
        <f t="shared" ref="CV160:CV191" si="157">(AH160*AV160)</f>
        <v>1.6080000000000001</v>
      </c>
      <c r="CW160">
        <f t="shared" ref="CW160:CW191" si="158">AI160</f>
        <v>0</v>
      </c>
      <c r="CX160">
        <f t="shared" ref="CX160:CX191" si="159">AJ160</f>
        <v>0</v>
      </c>
      <c r="CY160">
        <f>(ROUND((((S160+ROUND((ROUND((((EU160*1.2))*AV160*1),2)*BS160),2))*AT160)/100),2)+ROUND(((ROUND((ROUND(((AE160-((EU160*1.2)))*AV160*1),2)*BS160),2)*AT160)/100),2))</f>
        <v>1122.78</v>
      </c>
      <c r="CZ160">
        <f>(ROUND((((S160+ROUND((ROUND((((EU160*1.2))*AV160*1),2)*BS160),2))*AU160)/100),2)+ROUND(((ROUND((ROUND(((AE160-((EU160*1.2)))*AV160*1),2)*BS160),2)*AU160)/100),2))</f>
        <v>590.33000000000004</v>
      </c>
      <c r="DB160">
        <v>13</v>
      </c>
      <c r="DC160" t="s">
        <v>3</v>
      </c>
      <c r="DD160" t="s">
        <v>60</v>
      </c>
      <c r="DE160" t="s">
        <v>61</v>
      </c>
      <c r="DF160" t="s">
        <v>61</v>
      </c>
      <c r="DG160" t="s">
        <v>61</v>
      </c>
      <c r="DH160" t="s">
        <v>3</v>
      </c>
      <c r="DI160" t="s">
        <v>61</v>
      </c>
      <c r="DJ160" t="s">
        <v>61</v>
      </c>
      <c r="DK160" t="s">
        <v>3</v>
      </c>
      <c r="DL160" t="s">
        <v>3</v>
      </c>
      <c r="DM160" t="s">
        <v>3</v>
      </c>
      <c r="DN160">
        <v>0</v>
      </c>
      <c r="DO160">
        <v>0</v>
      </c>
      <c r="DP160">
        <v>1</v>
      </c>
      <c r="DQ160">
        <v>1</v>
      </c>
      <c r="DU160">
        <v>1013</v>
      </c>
      <c r="DV160" t="s">
        <v>16</v>
      </c>
      <c r="DW160" t="s">
        <v>16</v>
      </c>
      <c r="DX160">
        <v>1</v>
      </c>
      <c r="DZ160" t="s">
        <v>3</v>
      </c>
      <c r="EA160" t="s">
        <v>3</v>
      </c>
      <c r="EB160" t="s">
        <v>3</v>
      </c>
      <c r="EC160" t="s">
        <v>3</v>
      </c>
      <c r="EE160">
        <v>76282301</v>
      </c>
      <c r="EF160">
        <v>40</v>
      </c>
      <c r="EG160" t="s">
        <v>20</v>
      </c>
      <c r="EH160">
        <v>0</v>
      </c>
      <c r="EI160" t="s">
        <v>3</v>
      </c>
      <c r="EJ160">
        <v>2</v>
      </c>
      <c r="EK160">
        <v>67</v>
      </c>
      <c r="EL160" t="s">
        <v>21</v>
      </c>
      <c r="EM160" t="s">
        <v>22</v>
      </c>
      <c r="EO160" t="s">
        <v>62</v>
      </c>
      <c r="EQ160">
        <v>131072</v>
      </c>
      <c r="ER160">
        <v>42.76</v>
      </c>
      <c r="ES160">
        <v>25.27</v>
      </c>
      <c r="ET160">
        <v>0.79</v>
      </c>
      <c r="EU160">
        <v>0</v>
      </c>
      <c r="EV160">
        <v>16.7</v>
      </c>
      <c r="EW160">
        <v>1.34</v>
      </c>
      <c r="EX160">
        <v>0</v>
      </c>
      <c r="EY160">
        <v>0</v>
      </c>
      <c r="FQ160">
        <v>0</v>
      </c>
      <c r="FR160">
        <v>0</v>
      </c>
      <c r="FS160">
        <v>0</v>
      </c>
      <c r="FX160">
        <v>97</v>
      </c>
      <c r="FY160">
        <v>51</v>
      </c>
      <c r="GA160" t="s">
        <v>3</v>
      </c>
      <c r="GD160">
        <v>1</v>
      </c>
      <c r="GF160">
        <v>-238938447</v>
      </c>
      <c r="GG160">
        <v>2</v>
      </c>
      <c r="GH160">
        <v>0</v>
      </c>
      <c r="GI160">
        <v>2</v>
      </c>
      <c r="GJ160">
        <v>0</v>
      </c>
      <c r="GK160">
        <v>0</v>
      </c>
      <c r="GL160">
        <f t="shared" ref="GL160:GL191" si="160">ROUND(IF(AND(BH160=3,BI160=3,FS160&lt;&gt;0),P160,0),2)</f>
        <v>0</v>
      </c>
      <c r="GM160">
        <f t="shared" ref="GM160:GM191" si="161">ROUND(O160+X160+Y160,2)+GX160</f>
        <v>3035.85</v>
      </c>
      <c r="GN160">
        <f t="shared" ref="GN160:GN191" si="162">IF(OR(BI160=0,BI160=1),GM160-GX160,0)</f>
        <v>0</v>
      </c>
      <c r="GO160">
        <f t="shared" ref="GO160:GO191" si="163">IF(BI160=2,GM160-GX160,0)</f>
        <v>3035.85</v>
      </c>
      <c r="GP160">
        <f t="shared" ref="GP160:GP191" si="164">IF(BI160=4,GM160-GX160,0)</f>
        <v>0</v>
      </c>
      <c r="GR160">
        <v>0</v>
      </c>
      <c r="GS160">
        <v>7</v>
      </c>
      <c r="GT160">
        <v>0</v>
      </c>
      <c r="GU160" t="s">
        <v>3</v>
      </c>
      <c r="GV160">
        <f t="shared" ref="GV160:GV191" si="165">ROUND((GT160),6)</f>
        <v>0</v>
      </c>
      <c r="GW160">
        <v>1</v>
      </c>
      <c r="GX160">
        <f t="shared" ref="GX160:GX191" si="166">ROUND(HC160*I160,2)</f>
        <v>0</v>
      </c>
      <c r="HA160">
        <v>0</v>
      </c>
      <c r="HB160">
        <v>0</v>
      </c>
      <c r="HC160">
        <f t="shared" ref="HC160:HC191" si="167">GV160*GW160</f>
        <v>0</v>
      </c>
      <c r="HE160" t="s">
        <v>3</v>
      </c>
      <c r="HF160" t="s">
        <v>3</v>
      </c>
      <c r="HM160" t="s">
        <v>3</v>
      </c>
      <c r="HN160" t="s">
        <v>3</v>
      </c>
      <c r="HO160" t="s">
        <v>3</v>
      </c>
      <c r="HP160" t="s">
        <v>3</v>
      </c>
      <c r="HQ160" t="s">
        <v>3</v>
      </c>
      <c r="HS160">
        <v>0</v>
      </c>
      <c r="IK160">
        <v>0</v>
      </c>
    </row>
    <row r="161" spans="1:245">
      <c r="A161">
        <v>18</v>
      </c>
      <c r="B161">
        <v>1</v>
      </c>
      <c r="E161" t="s">
        <v>268</v>
      </c>
      <c r="F161" t="s">
        <v>64</v>
      </c>
      <c r="G161" t="s">
        <v>65</v>
      </c>
      <c r="H161" t="s">
        <v>39</v>
      </c>
      <c r="I161">
        <f>I160*J161</f>
        <v>4.8999999999999998E-5</v>
      </c>
      <c r="J161">
        <v>4.8999999999999998E-5</v>
      </c>
      <c r="K161">
        <v>4.9000000000000005E-5</v>
      </c>
      <c r="O161">
        <f t="shared" si="143"/>
        <v>4.22</v>
      </c>
      <c r="P161">
        <f t="shared" si="144"/>
        <v>4.22</v>
      </c>
      <c r="Q161">
        <f>(ROUND((ROUND(((ET161)*AV161*I161),2)*BB161),2)+ROUND((ROUND(((AE161-(EU161))*AV161*I161),2)*BS161),2))</f>
        <v>0</v>
      </c>
      <c r="R161">
        <f>(ROUND((ROUND(((EU161)*AV161*I161),2)*BS161),2)+ROUND((ROUND(((AE161-(EU161))*AV161*I161),2)*BS161),2))</f>
        <v>0</v>
      </c>
      <c r="S161">
        <f t="shared" si="145"/>
        <v>0</v>
      </c>
      <c r="T161">
        <f t="shared" si="146"/>
        <v>0</v>
      </c>
      <c r="U161">
        <f t="shared" si="147"/>
        <v>0</v>
      </c>
      <c r="V161">
        <f t="shared" si="148"/>
        <v>0</v>
      </c>
      <c r="W161">
        <f t="shared" si="149"/>
        <v>0</v>
      </c>
      <c r="X161">
        <f>(ROUND((((S161+ROUND((ROUND(((EU161)*AV161*I161),2)*BS161),2))*AT161)/100),2)+ROUND(((ROUND((ROUND(((AE161-(EU161))*AV161*I161),2)*BS161),2)*AT161)/100),2))</f>
        <v>0</v>
      </c>
      <c r="Y161">
        <f>(ROUND((((S161+ROUND((ROUND(((EU161)*AV161*I161),2)*BS161),2))*AU161)/100),2)+ROUND(((ROUND((ROUND(((AE161-(EU161))*AV161*I161),2)*BS161),2)*AU161)/100),2))</f>
        <v>0</v>
      </c>
      <c r="AA161">
        <v>76282491</v>
      </c>
      <c r="AB161">
        <f t="shared" si="150"/>
        <v>24609.759999999998</v>
      </c>
      <c r="AC161">
        <f>ROUND((ES161),6)</f>
        <v>24609.759999999998</v>
      </c>
      <c r="AD161">
        <f>ROUND((((ET161)-(EU161))+AE161),6)</f>
        <v>0</v>
      </c>
      <c r="AE161">
        <f t="shared" ref="AE161:AF164" si="168">ROUND((EU161),6)</f>
        <v>0</v>
      </c>
      <c r="AF161">
        <f t="shared" si="168"/>
        <v>0</v>
      </c>
      <c r="AG161">
        <f t="shared" si="151"/>
        <v>0</v>
      </c>
      <c r="AH161">
        <f t="shared" ref="AH161:AI164" si="169">(EW161)</f>
        <v>0</v>
      </c>
      <c r="AI161">
        <f t="shared" si="169"/>
        <v>0</v>
      </c>
      <c r="AJ161">
        <f t="shared" si="152"/>
        <v>0</v>
      </c>
      <c r="AK161">
        <v>24609.759999999998</v>
      </c>
      <c r="AL161">
        <v>24609.759999999998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97</v>
      </c>
      <c r="AU161">
        <v>51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3.49</v>
      </c>
      <c r="BD161" t="s">
        <v>3</v>
      </c>
      <c r="BE161" t="s">
        <v>3</v>
      </c>
      <c r="BF161" t="s">
        <v>3</v>
      </c>
      <c r="BG161" t="s">
        <v>3</v>
      </c>
      <c r="BH161">
        <v>3</v>
      </c>
      <c r="BI161">
        <v>2</v>
      </c>
      <c r="BJ161" t="s">
        <v>66</v>
      </c>
      <c r="BM161">
        <v>67</v>
      </c>
      <c r="BN161">
        <v>0</v>
      </c>
      <c r="BO161" t="s">
        <v>64</v>
      </c>
      <c r="BP161">
        <v>1</v>
      </c>
      <c r="BQ161">
        <v>40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97</v>
      </c>
      <c r="CA161">
        <v>51</v>
      </c>
      <c r="CB161" t="s">
        <v>3</v>
      </c>
      <c r="CE161">
        <v>1566</v>
      </c>
      <c r="CF161">
        <v>0</v>
      </c>
      <c r="CG161">
        <v>0</v>
      </c>
      <c r="CM161">
        <v>0</v>
      </c>
      <c r="CN161" t="s">
        <v>454</v>
      </c>
      <c r="CO161">
        <v>0</v>
      </c>
      <c r="CP161">
        <f t="shared" si="153"/>
        <v>4.22</v>
      </c>
      <c r="CQ161">
        <f t="shared" si="154"/>
        <v>85888.06</v>
      </c>
      <c r="CR161">
        <f>(ROUND((ROUND(((ET161)*AV161*1),2)*BB161),2)+ROUND((ROUND(((AE161-(EU161))*AV161*1),2)*BS161),2))</f>
        <v>0</v>
      </c>
      <c r="CS161">
        <f>(ROUND((ROUND(((EU161)*AV161*1),2)*BS161),2)+ROUND((ROUND(((AE161-(EU161))*AV161*1),2)*BS161),2))</f>
        <v>0</v>
      </c>
      <c r="CT161">
        <f t="shared" si="155"/>
        <v>0</v>
      </c>
      <c r="CU161">
        <f t="shared" si="156"/>
        <v>0</v>
      </c>
      <c r="CV161">
        <f t="shared" si="157"/>
        <v>0</v>
      </c>
      <c r="CW161">
        <f t="shared" si="158"/>
        <v>0</v>
      </c>
      <c r="CX161">
        <f t="shared" si="159"/>
        <v>0</v>
      </c>
      <c r="CY161">
        <f>(ROUND((((S161+ROUND((ROUND(((EU161)*AV161*1),2)*BS161),2))*AT161)/100),2)+ROUND(((ROUND((ROUND(((AE161-(EU161))*AV161*1),2)*BS161),2)*AT161)/100),2))</f>
        <v>0</v>
      </c>
      <c r="CZ161">
        <f>(ROUND((((S161+ROUND((ROUND(((EU161)*AV161*1),2)*BS161),2))*AU161)/100),2)+ROUND(((ROUND((ROUND(((AE161-(EU161))*AV161*1),2)*BS161),2)*AU161)/100),2))</f>
        <v>0</v>
      </c>
      <c r="DC161" t="s">
        <v>3</v>
      </c>
      <c r="DD161" t="s">
        <v>3</v>
      </c>
      <c r="DE161" t="s">
        <v>3</v>
      </c>
      <c r="DF161" t="s">
        <v>3</v>
      </c>
      <c r="DG161" t="s">
        <v>3</v>
      </c>
      <c r="DH161" t="s">
        <v>3</v>
      </c>
      <c r="DI161" t="s">
        <v>3</v>
      </c>
      <c r="DJ161" t="s">
        <v>3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1009</v>
      </c>
      <c r="DV161" t="s">
        <v>39</v>
      </c>
      <c r="DW161" t="s">
        <v>39</v>
      </c>
      <c r="DX161">
        <v>1000</v>
      </c>
      <c r="DZ161" t="s">
        <v>3</v>
      </c>
      <c r="EA161" t="s">
        <v>3</v>
      </c>
      <c r="EB161" t="s">
        <v>3</v>
      </c>
      <c r="EC161" t="s">
        <v>3</v>
      </c>
      <c r="EE161">
        <v>76282301</v>
      </c>
      <c r="EF161">
        <v>40</v>
      </c>
      <c r="EG161" t="s">
        <v>20</v>
      </c>
      <c r="EH161">
        <v>0</v>
      </c>
      <c r="EI161" t="s">
        <v>3</v>
      </c>
      <c r="EJ161">
        <v>2</v>
      </c>
      <c r="EK161">
        <v>67</v>
      </c>
      <c r="EL161" t="s">
        <v>21</v>
      </c>
      <c r="EM161" t="s">
        <v>22</v>
      </c>
      <c r="EO161" t="s">
        <v>62</v>
      </c>
      <c r="EQ161">
        <v>0</v>
      </c>
      <c r="ER161">
        <v>24609.759999999998</v>
      </c>
      <c r="ES161">
        <v>24609.759999999998</v>
      </c>
      <c r="ET161">
        <v>0</v>
      </c>
      <c r="EU161">
        <v>0</v>
      </c>
      <c r="EV161">
        <v>0</v>
      </c>
      <c r="EW161">
        <v>0</v>
      </c>
      <c r="EX161">
        <v>0</v>
      </c>
      <c r="FQ161">
        <v>0</v>
      </c>
      <c r="FR161">
        <v>0</v>
      </c>
      <c r="FS161">
        <v>0</v>
      </c>
      <c r="FX161">
        <v>97</v>
      </c>
      <c r="FY161">
        <v>51</v>
      </c>
      <c r="GA161" t="s">
        <v>3</v>
      </c>
      <c r="GD161">
        <v>1</v>
      </c>
      <c r="GF161">
        <v>-566361729</v>
      </c>
      <c r="GG161">
        <v>2</v>
      </c>
      <c r="GH161">
        <v>0</v>
      </c>
      <c r="GI161">
        <v>2</v>
      </c>
      <c r="GJ161">
        <v>0</v>
      </c>
      <c r="GK161">
        <v>0</v>
      </c>
      <c r="GL161">
        <f t="shared" si="160"/>
        <v>0</v>
      </c>
      <c r="GM161">
        <f t="shared" si="161"/>
        <v>4.22</v>
      </c>
      <c r="GN161">
        <f t="shared" si="162"/>
        <v>0</v>
      </c>
      <c r="GO161">
        <f t="shared" si="163"/>
        <v>4.22</v>
      </c>
      <c r="GP161">
        <f t="shared" si="164"/>
        <v>0</v>
      </c>
      <c r="GR161">
        <v>0</v>
      </c>
      <c r="GS161">
        <v>0</v>
      </c>
      <c r="GT161">
        <v>0</v>
      </c>
      <c r="GU161" t="s">
        <v>3</v>
      </c>
      <c r="GV161">
        <f t="shared" si="165"/>
        <v>0</v>
      </c>
      <c r="GW161">
        <v>1</v>
      </c>
      <c r="GX161">
        <f t="shared" si="166"/>
        <v>0</v>
      </c>
      <c r="HA161">
        <v>0</v>
      </c>
      <c r="HB161">
        <v>0</v>
      </c>
      <c r="HC161">
        <f t="shared" si="167"/>
        <v>0</v>
      </c>
      <c r="HE161" t="s">
        <v>3</v>
      </c>
      <c r="HF161" t="s">
        <v>3</v>
      </c>
      <c r="HM161" t="s">
        <v>60</v>
      </c>
      <c r="HN161" t="s">
        <v>3</v>
      </c>
      <c r="HO161" t="s">
        <v>3</v>
      </c>
      <c r="HP161" t="s">
        <v>3</v>
      </c>
      <c r="HQ161" t="s">
        <v>3</v>
      </c>
      <c r="HS161">
        <v>0</v>
      </c>
      <c r="IK161">
        <v>0</v>
      </c>
    </row>
    <row r="162" spans="1:245">
      <c r="A162">
        <v>18</v>
      </c>
      <c r="B162">
        <v>1</v>
      </c>
      <c r="E162" t="s">
        <v>269</v>
      </c>
      <c r="F162" t="s">
        <v>270</v>
      </c>
      <c r="G162" t="s">
        <v>271</v>
      </c>
      <c r="H162" t="s">
        <v>32</v>
      </c>
      <c r="I162">
        <f>I160*J162</f>
        <v>1</v>
      </c>
      <c r="J162">
        <v>1</v>
      </c>
      <c r="K162">
        <v>1</v>
      </c>
      <c r="O162">
        <f t="shared" si="143"/>
        <v>425.87</v>
      </c>
      <c r="P162">
        <f t="shared" si="144"/>
        <v>425.87</v>
      </c>
      <c r="Q162">
        <f>(ROUND((ROUND(((ET162)*AV162*I162),2)*BB162),2)+ROUND((ROUND(((AE162-(EU162))*AV162*I162),2)*BS162),2))</f>
        <v>0</v>
      </c>
      <c r="R162">
        <f>(ROUND((ROUND(((EU162)*AV162*I162),2)*BS162),2)+ROUND((ROUND(((AE162-(EU162))*AV162*I162),2)*BS162),2))</f>
        <v>0</v>
      </c>
      <c r="S162">
        <f t="shared" si="145"/>
        <v>0</v>
      </c>
      <c r="T162">
        <f t="shared" si="146"/>
        <v>0</v>
      </c>
      <c r="U162">
        <f t="shared" si="147"/>
        <v>0</v>
      </c>
      <c r="V162">
        <f t="shared" si="148"/>
        <v>0</v>
      </c>
      <c r="W162">
        <f t="shared" si="149"/>
        <v>0</v>
      </c>
      <c r="X162">
        <f>(ROUND((((S162+ROUND((ROUND(((EU162)*AV162*I162),2)*BS162),2))*AT162)/100),2)+ROUND(((ROUND((ROUND(((AE162-(EU162))*AV162*I162),2)*BS162),2)*AT162)/100),2))</f>
        <v>0</v>
      </c>
      <c r="Y162">
        <f>(ROUND((((S162+ROUND((ROUND(((EU162)*AV162*I162),2)*BS162),2))*AU162)/100),2)+ROUND(((ROUND((ROUND(((AE162-(EU162))*AV162*I162),2)*BS162),2)*AU162)/100),2))</f>
        <v>0</v>
      </c>
      <c r="AA162">
        <v>76282491</v>
      </c>
      <c r="AB162">
        <f t="shared" si="150"/>
        <v>77.010000000000005</v>
      </c>
      <c r="AC162">
        <f>ROUND((ES162),6)</f>
        <v>77.010000000000005</v>
      </c>
      <c r="AD162">
        <f>ROUND((((ET162)-(EU162))+AE162),6)</f>
        <v>0</v>
      </c>
      <c r="AE162">
        <f t="shared" si="168"/>
        <v>0</v>
      </c>
      <c r="AF162">
        <f t="shared" si="168"/>
        <v>0</v>
      </c>
      <c r="AG162">
        <f t="shared" si="151"/>
        <v>0</v>
      </c>
      <c r="AH162">
        <f t="shared" si="169"/>
        <v>0</v>
      </c>
      <c r="AI162">
        <f t="shared" si="169"/>
        <v>0</v>
      </c>
      <c r="AJ162">
        <f t="shared" si="152"/>
        <v>0</v>
      </c>
      <c r="AK162">
        <v>77.010000000000005</v>
      </c>
      <c r="AL162">
        <v>77.010000000000005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97</v>
      </c>
      <c r="AU162">
        <v>51</v>
      </c>
      <c r="AV162">
        <v>1</v>
      </c>
      <c r="AW162">
        <v>1</v>
      </c>
      <c r="AZ162">
        <v>1</v>
      </c>
      <c r="BA162">
        <v>1</v>
      </c>
      <c r="BB162">
        <v>1</v>
      </c>
      <c r="BC162">
        <v>5.53</v>
      </c>
      <c r="BD162" t="s">
        <v>3</v>
      </c>
      <c r="BE162" t="s">
        <v>3</v>
      </c>
      <c r="BF162" t="s">
        <v>3</v>
      </c>
      <c r="BG162" t="s">
        <v>3</v>
      </c>
      <c r="BH162">
        <v>3</v>
      </c>
      <c r="BI162">
        <v>2</v>
      </c>
      <c r="BJ162" t="s">
        <v>272</v>
      </c>
      <c r="BM162">
        <v>67</v>
      </c>
      <c r="BN162">
        <v>0</v>
      </c>
      <c r="BO162" t="s">
        <v>270</v>
      </c>
      <c r="BP162">
        <v>1</v>
      </c>
      <c r="BQ162">
        <v>40</v>
      </c>
      <c r="BR162">
        <v>0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 t="s">
        <v>3</v>
      </c>
      <c r="BZ162">
        <v>97</v>
      </c>
      <c r="CA162">
        <v>51</v>
      </c>
      <c r="CB162" t="s">
        <v>3</v>
      </c>
      <c r="CE162">
        <v>1566</v>
      </c>
      <c r="CF162">
        <v>0</v>
      </c>
      <c r="CG162">
        <v>0</v>
      </c>
      <c r="CM162">
        <v>0</v>
      </c>
      <c r="CN162" t="s">
        <v>454</v>
      </c>
      <c r="CO162">
        <v>0</v>
      </c>
      <c r="CP162">
        <f t="shared" si="153"/>
        <v>425.87</v>
      </c>
      <c r="CQ162">
        <f t="shared" si="154"/>
        <v>425.87</v>
      </c>
      <c r="CR162">
        <f>(ROUND((ROUND(((ET162)*AV162*1),2)*BB162),2)+ROUND((ROUND(((AE162-(EU162))*AV162*1),2)*BS162),2))</f>
        <v>0</v>
      </c>
      <c r="CS162">
        <f>(ROUND((ROUND(((EU162)*AV162*1),2)*BS162),2)+ROUND((ROUND(((AE162-(EU162))*AV162*1),2)*BS162),2))</f>
        <v>0</v>
      </c>
      <c r="CT162">
        <f t="shared" si="155"/>
        <v>0</v>
      </c>
      <c r="CU162">
        <f t="shared" si="156"/>
        <v>0</v>
      </c>
      <c r="CV162">
        <f t="shared" si="157"/>
        <v>0</v>
      </c>
      <c r="CW162">
        <f t="shared" si="158"/>
        <v>0</v>
      </c>
      <c r="CX162">
        <f t="shared" si="159"/>
        <v>0</v>
      </c>
      <c r="CY162">
        <f>(ROUND((((S162+ROUND((ROUND(((EU162)*AV162*1),2)*BS162),2))*AT162)/100),2)+ROUND(((ROUND((ROUND(((AE162-(EU162))*AV162*1),2)*BS162),2)*AT162)/100),2))</f>
        <v>0</v>
      </c>
      <c r="CZ162">
        <f>(ROUND((((S162+ROUND((ROUND(((EU162)*AV162*1),2)*BS162),2))*AU162)/100),2)+ROUND(((ROUND((ROUND(((AE162-(EU162))*AV162*1),2)*BS162),2)*AU162)/100),2))</f>
        <v>0</v>
      </c>
      <c r="DC162" t="s">
        <v>3</v>
      </c>
      <c r="DD162" t="s">
        <v>3</v>
      </c>
      <c r="DE162" t="s">
        <v>3</v>
      </c>
      <c r="DF162" t="s">
        <v>3</v>
      </c>
      <c r="DG162" t="s">
        <v>3</v>
      </c>
      <c r="DH162" t="s">
        <v>3</v>
      </c>
      <c r="DI162" t="s">
        <v>3</v>
      </c>
      <c r="DJ162" t="s">
        <v>3</v>
      </c>
      <c r="DK162" t="s">
        <v>3</v>
      </c>
      <c r="DL162" t="s">
        <v>3</v>
      </c>
      <c r="DM162" t="s">
        <v>3</v>
      </c>
      <c r="DN162">
        <v>0</v>
      </c>
      <c r="DO162">
        <v>0</v>
      </c>
      <c r="DP162">
        <v>1</v>
      </c>
      <c r="DQ162">
        <v>1</v>
      </c>
      <c r="DU162">
        <v>1010</v>
      </c>
      <c r="DV162" t="s">
        <v>32</v>
      </c>
      <c r="DW162" t="s">
        <v>32</v>
      </c>
      <c r="DX162">
        <v>1</v>
      </c>
      <c r="DZ162" t="s">
        <v>3</v>
      </c>
      <c r="EA162" t="s">
        <v>3</v>
      </c>
      <c r="EB162" t="s">
        <v>3</v>
      </c>
      <c r="EC162" t="s">
        <v>3</v>
      </c>
      <c r="EE162">
        <v>76282301</v>
      </c>
      <c r="EF162">
        <v>40</v>
      </c>
      <c r="EG162" t="s">
        <v>20</v>
      </c>
      <c r="EH162">
        <v>0</v>
      </c>
      <c r="EI162" t="s">
        <v>3</v>
      </c>
      <c r="EJ162">
        <v>2</v>
      </c>
      <c r="EK162">
        <v>67</v>
      </c>
      <c r="EL162" t="s">
        <v>21</v>
      </c>
      <c r="EM162" t="s">
        <v>22</v>
      </c>
      <c r="EO162" t="s">
        <v>62</v>
      </c>
      <c r="EQ162">
        <v>0</v>
      </c>
      <c r="ER162">
        <v>77.010000000000005</v>
      </c>
      <c r="ES162">
        <v>77.010000000000005</v>
      </c>
      <c r="ET162">
        <v>0</v>
      </c>
      <c r="EU162">
        <v>0</v>
      </c>
      <c r="EV162">
        <v>0</v>
      </c>
      <c r="EW162">
        <v>0</v>
      </c>
      <c r="EX162">
        <v>0</v>
      </c>
      <c r="FQ162">
        <v>0</v>
      </c>
      <c r="FR162">
        <v>0</v>
      </c>
      <c r="FS162">
        <v>0</v>
      </c>
      <c r="FX162">
        <v>97</v>
      </c>
      <c r="FY162">
        <v>51</v>
      </c>
      <c r="GA162" t="s">
        <v>3</v>
      </c>
      <c r="GD162">
        <v>1</v>
      </c>
      <c r="GF162">
        <v>1623186938</v>
      </c>
      <c r="GG162">
        <v>2</v>
      </c>
      <c r="GH162">
        <v>0</v>
      </c>
      <c r="GI162">
        <v>2</v>
      </c>
      <c r="GJ162">
        <v>0</v>
      </c>
      <c r="GK162">
        <v>0</v>
      </c>
      <c r="GL162">
        <f t="shared" si="160"/>
        <v>0</v>
      </c>
      <c r="GM162">
        <f t="shared" si="161"/>
        <v>425.87</v>
      </c>
      <c r="GN162">
        <f t="shared" si="162"/>
        <v>0</v>
      </c>
      <c r="GO162">
        <f t="shared" si="163"/>
        <v>425.87</v>
      </c>
      <c r="GP162">
        <f t="shared" si="164"/>
        <v>0</v>
      </c>
      <c r="GR162">
        <v>0</v>
      </c>
      <c r="GS162">
        <v>0</v>
      </c>
      <c r="GT162">
        <v>0</v>
      </c>
      <c r="GU162" t="s">
        <v>3</v>
      </c>
      <c r="GV162">
        <f t="shared" si="165"/>
        <v>0</v>
      </c>
      <c r="GW162">
        <v>1</v>
      </c>
      <c r="GX162">
        <f t="shared" si="166"/>
        <v>0</v>
      </c>
      <c r="HA162">
        <v>0</v>
      </c>
      <c r="HB162">
        <v>0</v>
      </c>
      <c r="HC162">
        <f t="shared" si="167"/>
        <v>0</v>
      </c>
      <c r="HE162" t="s">
        <v>3</v>
      </c>
      <c r="HF162" t="s">
        <v>3</v>
      </c>
      <c r="HM162" t="s">
        <v>60</v>
      </c>
      <c r="HN162" t="s">
        <v>3</v>
      </c>
      <c r="HO162" t="s">
        <v>3</v>
      </c>
      <c r="HP162" t="s">
        <v>3</v>
      </c>
      <c r="HQ162" t="s">
        <v>3</v>
      </c>
      <c r="HS162">
        <v>0</v>
      </c>
      <c r="IK162">
        <v>0</v>
      </c>
    </row>
    <row r="163" spans="1:245">
      <c r="A163">
        <v>18</v>
      </c>
      <c r="B163">
        <v>1</v>
      </c>
      <c r="E163" t="s">
        <v>273</v>
      </c>
      <c r="F163" t="s">
        <v>34</v>
      </c>
      <c r="G163" t="s">
        <v>35</v>
      </c>
      <c r="H163" t="s">
        <v>32</v>
      </c>
      <c r="I163">
        <f>I160*J163</f>
        <v>6.1</v>
      </c>
      <c r="J163">
        <v>6.1</v>
      </c>
      <c r="K163">
        <v>6.1</v>
      </c>
      <c r="O163">
        <f t="shared" si="143"/>
        <v>0</v>
      </c>
      <c r="P163">
        <f t="shared" si="144"/>
        <v>0</v>
      </c>
      <c r="Q163">
        <f>(ROUND((ROUND(((ET163)*AV163*I163),2)*BB163),2)+ROUND((ROUND(((AE163-(EU163))*AV163*I163),2)*BS163),2))</f>
        <v>0</v>
      </c>
      <c r="R163">
        <f>(ROUND((ROUND(((EU163)*AV163*I163),2)*BS163),2)+ROUND((ROUND(((AE163-(EU163))*AV163*I163),2)*BS163),2))</f>
        <v>0</v>
      </c>
      <c r="S163">
        <f t="shared" si="145"/>
        <v>0</v>
      </c>
      <c r="T163">
        <f t="shared" si="146"/>
        <v>0</v>
      </c>
      <c r="U163">
        <f t="shared" si="147"/>
        <v>0</v>
      </c>
      <c r="V163">
        <f t="shared" si="148"/>
        <v>0</v>
      </c>
      <c r="W163">
        <f t="shared" si="149"/>
        <v>0</v>
      </c>
      <c r="X163">
        <f>(ROUND((((S163+ROUND((ROUND(((EU163)*AV163*I163),2)*BS163),2))*AT163)/100),2)+ROUND(((ROUND((ROUND(((AE163-(EU163))*AV163*I163),2)*BS163),2)*AT163)/100),2))</f>
        <v>0</v>
      </c>
      <c r="Y163">
        <f>(ROUND((((S163+ROUND((ROUND(((EU163)*AV163*I163),2)*BS163),2))*AU163)/100),2)+ROUND(((ROUND((ROUND(((AE163-(EU163))*AV163*I163),2)*BS163),2)*AU163)/100),2))</f>
        <v>0</v>
      </c>
      <c r="AA163">
        <v>76282491</v>
      </c>
      <c r="AB163">
        <f t="shared" si="150"/>
        <v>0</v>
      </c>
      <c r="AC163">
        <f>ROUND((ES163),6)</f>
        <v>0</v>
      </c>
      <c r="AD163">
        <f>ROUND((((ET163)-(EU163))+AE163),6)</f>
        <v>0</v>
      </c>
      <c r="AE163">
        <f t="shared" si="168"/>
        <v>0</v>
      </c>
      <c r="AF163">
        <f t="shared" si="168"/>
        <v>0</v>
      </c>
      <c r="AG163">
        <f t="shared" si="151"/>
        <v>0</v>
      </c>
      <c r="AH163">
        <f t="shared" si="169"/>
        <v>0</v>
      </c>
      <c r="AI163">
        <f t="shared" si="169"/>
        <v>0</v>
      </c>
      <c r="AJ163">
        <f t="shared" si="152"/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97</v>
      </c>
      <c r="AU163">
        <v>51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1</v>
      </c>
      <c r="BD163" t="s">
        <v>3</v>
      </c>
      <c r="BE163" t="s">
        <v>3</v>
      </c>
      <c r="BF163" t="s">
        <v>3</v>
      </c>
      <c r="BG163" t="s">
        <v>3</v>
      </c>
      <c r="BH163">
        <v>3</v>
      </c>
      <c r="BI163">
        <v>2</v>
      </c>
      <c r="BJ163" t="s">
        <v>3</v>
      </c>
      <c r="BM163">
        <v>67</v>
      </c>
      <c r="BN163">
        <v>0</v>
      </c>
      <c r="BO163" t="s">
        <v>3</v>
      </c>
      <c r="BP163">
        <v>0</v>
      </c>
      <c r="BQ163">
        <v>40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97</v>
      </c>
      <c r="CA163">
        <v>51</v>
      </c>
      <c r="CB163" t="s">
        <v>3</v>
      </c>
      <c r="CE163">
        <v>1566</v>
      </c>
      <c r="CF163">
        <v>0</v>
      </c>
      <c r="CG163">
        <v>0</v>
      </c>
      <c r="CM163">
        <v>0</v>
      </c>
      <c r="CN163" t="s">
        <v>454</v>
      </c>
      <c r="CO163">
        <v>0</v>
      </c>
      <c r="CP163">
        <f t="shared" si="153"/>
        <v>0</v>
      </c>
      <c r="CQ163">
        <f t="shared" si="154"/>
        <v>0</v>
      </c>
      <c r="CR163">
        <f>(ROUND((ROUND(((ET163)*AV163*1),2)*BB163),2)+ROUND((ROUND(((AE163-(EU163))*AV163*1),2)*BS163),2))</f>
        <v>0</v>
      </c>
      <c r="CS163">
        <f>(ROUND((ROUND(((EU163)*AV163*1),2)*BS163),2)+ROUND((ROUND(((AE163-(EU163))*AV163*1),2)*BS163),2))</f>
        <v>0</v>
      </c>
      <c r="CT163">
        <f t="shared" si="155"/>
        <v>0</v>
      </c>
      <c r="CU163">
        <f t="shared" si="156"/>
        <v>0</v>
      </c>
      <c r="CV163">
        <f t="shared" si="157"/>
        <v>0</v>
      </c>
      <c r="CW163">
        <f t="shared" si="158"/>
        <v>0</v>
      </c>
      <c r="CX163">
        <f t="shared" si="159"/>
        <v>0</v>
      </c>
      <c r="CY163">
        <f>(ROUND((((S163+ROUND((ROUND(((EU163)*AV163*1),2)*BS163),2))*AT163)/100),2)+ROUND(((ROUND((ROUND(((AE163-(EU163))*AV163*1),2)*BS163),2)*AT163)/100),2))</f>
        <v>0</v>
      </c>
      <c r="CZ163">
        <f>(ROUND((((S163+ROUND((ROUND(((EU163)*AV163*1),2)*BS163),2))*AU163)/100),2)+ROUND(((ROUND((ROUND(((AE163-(EU163))*AV163*1),2)*BS163),2)*AU163)/100),2))</f>
        <v>0</v>
      </c>
      <c r="DC163" t="s">
        <v>3</v>
      </c>
      <c r="DD163" t="s">
        <v>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1010</v>
      </c>
      <c r="DV163" t="s">
        <v>32</v>
      </c>
      <c r="DW163" t="s">
        <v>32</v>
      </c>
      <c r="DX163">
        <v>1</v>
      </c>
      <c r="DZ163" t="s">
        <v>3</v>
      </c>
      <c r="EA163" t="s">
        <v>3</v>
      </c>
      <c r="EB163" t="s">
        <v>3</v>
      </c>
      <c r="EC163" t="s">
        <v>3</v>
      </c>
      <c r="EE163">
        <v>76282301</v>
      </c>
      <c r="EF163">
        <v>40</v>
      </c>
      <c r="EG163" t="s">
        <v>20</v>
      </c>
      <c r="EH163">
        <v>0</v>
      </c>
      <c r="EI163" t="s">
        <v>3</v>
      </c>
      <c r="EJ163">
        <v>2</v>
      </c>
      <c r="EK163">
        <v>67</v>
      </c>
      <c r="EL163" t="s">
        <v>21</v>
      </c>
      <c r="EM163" t="s">
        <v>22</v>
      </c>
      <c r="EO163" t="s">
        <v>62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FQ163">
        <v>0</v>
      </c>
      <c r="FR163">
        <v>0</v>
      </c>
      <c r="FS163">
        <v>0</v>
      </c>
      <c r="FX163">
        <v>97</v>
      </c>
      <c r="FY163">
        <v>51</v>
      </c>
      <c r="GA163" t="s">
        <v>3</v>
      </c>
      <c r="GD163">
        <v>1</v>
      </c>
      <c r="GF163">
        <v>-1431231368</v>
      </c>
      <c r="GG163">
        <v>2</v>
      </c>
      <c r="GH163">
        <v>0</v>
      </c>
      <c r="GI163">
        <v>-2</v>
      </c>
      <c r="GJ163">
        <v>0</v>
      </c>
      <c r="GK163">
        <v>0</v>
      </c>
      <c r="GL163">
        <f t="shared" si="160"/>
        <v>0</v>
      </c>
      <c r="GM163">
        <f t="shared" si="161"/>
        <v>0</v>
      </c>
      <c r="GN163">
        <f t="shared" si="162"/>
        <v>0</v>
      </c>
      <c r="GO163">
        <f t="shared" si="163"/>
        <v>0</v>
      </c>
      <c r="GP163">
        <f t="shared" si="164"/>
        <v>0</v>
      </c>
      <c r="GR163">
        <v>0</v>
      </c>
      <c r="GS163">
        <v>0</v>
      </c>
      <c r="GT163">
        <v>0</v>
      </c>
      <c r="GU163" t="s">
        <v>3</v>
      </c>
      <c r="GV163">
        <f t="shared" si="165"/>
        <v>0</v>
      </c>
      <c r="GW163">
        <v>1</v>
      </c>
      <c r="GX163">
        <f t="shared" si="166"/>
        <v>0</v>
      </c>
      <c r="HA163">
        <v>0</v>
      </c>
      <c r="HB163">
        <v>0</v>
      </c>
      <c r="HC163">
        <f t="shared" si="167"/>
        <v>0</v>
      </c>
      <c r="HE163" t="s">
        <v>3</v>
      </c>
      <c r="HF163" t="s">
        <v>3</v>
      </c>
      <c r="HM163" t="s">
        <v>60</v>
      </c>
      <c r="HN163" t="s">
        <v>3</v>
      </c>
      <c r="HO163" t="s">
        <v>3</v>
      </c>
      <c r="HP163" t="s">
        <v>3</v>
      </c>
      <c r="HQ163" t="s">
        <v>3</v>
      </c>
      <c r="HS163">
        <v>0</v>
      </c>
      <c r="IK163">
        <v>0</v>
      </c>
    </row>
    <row r="164" spans="1:245">
      <c r="A164">
        <v>18</v>
      </c>
      <c r="B164">
        <v>1</v>
      </c>
      <c r="E164" t="s">
        <v>274</v>
      </c>
      <c r="F164" t="s">
        <v>37</v>
      </c>
      <c r="G164" t="s">
        <v>38</v>
      </c>
      <c r="H164" t="s">
        <v>39</v>
      </c>
      <c r="I164">
        <f>I160*J164</f>
        <v>1E-3</v>
      </c>
      <c r="J164">
        <v>1E-3</v>
      </c>
      <c r="K164">
        <v>1E-3</v>
      </c>
      <c r="O164">
        <f t="shared" si="143"/>
        <v>0</v>
      </c>
      <c r="P164">
        <f t="shared" si="144"/>
        <v>0</v>
      </c>
      <c r="Q164">
        <f>(ROUND((ROUND(((ET164)*AV164*I164),2)*BB164),2)+ROUND((ROUND(((AE164-(EU164))*AV164*I164),2)*BS164),2))</f>
        <v>0</v>
      </c>
      <c r="R164">
        <f>(ROUND((ROUND(((EU164)*AV164*I164),2)*BS164),2)+ROUND((ROUND(((AE164-(EU164))*AV164*I164),2)*BS164),2))</f>
        <v>0</v>
      </c>
      <c r="S164">
        <f t="shared" si="145"/>
        <v>0</v>
      </c>
      <c r="T164">
        <f t="shared" si="146"/>
        <v>0</v>
      </c>
      <c r="U164">
        <f t="shared" si="147"/>
        <v>0</v>
      </c>
      <c r="V164">
        <f t="shared" si="148"/>
        <v>0</v>
      </c>
      <c r="W164">
        <f t="shared" si="149"/>
        <v>0</v>
      </c>
      <c r="X164">
        <f>(ROUND((((S164+ROUND((ROUND(((EU164)*AV164*I164),2)*BS164),2))*AT164)/100),2)+ROUND(((ROUND((ROUND(((AE164-(EU164))*AV164*I164),2)*BS164),2)*AT164)/100),2))</f>
        <v>0</v>
      </c>
      <c r="Y164">
        <f>(ROUND((((S164+ROUND((ROUND(((EU164)*AV164*I164),2)*BS164),2))*AU164)/100),2)+ROUND(((ROUND((ROUND(((AE164-(EU164))*AV164*I164),2)*BS164),2)*AU164)/100),2))</f>
        <v>0</v>
      </c>
      <c r="AA164">
        <v>76282491</v>
      </c>
      <c r="AB164">
        <f t="shared" si="150"/>
        <v>0</v>
      </c>
      <c r="AC164">
        <f>ROUND((ES164),6)</f>
        <v>0</v>
      </c>
      <c r="AD164">
        <f>ROUND((((ET164)-(EU164))+AE164),6)</f>
        <v>0</v>
      </c>
      <c r="AE164">
        <f t="shared" si="168"/>
        <v>0</v>
      </c>
      <c r="AF164">
        <f t="shared" si="168"/>
        <v>0</v>
      </c>
      <c r="AG164">
        <f t="shared" si="151"/>
        <v>0</v>
      </c>
      <c r="AH164">
        <f t="shared" si="169"/>
        <v>0</v>
      </c>
      <c r="AI164">
        <f t="shared" si="169"/>
        <v>0</v>
      </c>
      <c r="AJ164">
        <f t="shared" si="152"/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97</v>
      </c>
      <c r="AU164">
        <v>51</v>
      </c>
      <c r="AV164">
        <v>1</v>
      </c>
      <c r="AW164">
        <v>1</v>
      </c>
      <c r="AZ164">
        <v>1</v>
      </c>
      <c r="BA164">
        <v>1</v>
      </c>
      <c r="BB164">
        <v>1</v>
      </c>
      <c r="BC164">
        <v>1</v>
      </c>
      <c r="BD164" t="s">
        <v>3</v>
      </c>
      <c r="BE164" t="s">
        <v>3</v>
      </c>
      <c r="BF164" t="s">
        <v>3</v>
      </c>
      <c r="BG164" t="s">
        <v>3</v>
      </c>
      <c r="BH164">
        <v>3</v>
      </c>
      <c r="BI164">
        <v>2</v>
      </c>
      <c r="BJ164" t="s">
        <v>3</v>
      </c>
      <c r="BM164">
        <v>67</v>
      </c>
      <c r="BN164">
        <v>0</v>
      </c>
      <c r="BO164" t="s">
        <v>3</v>
      </c>
      <c r="BP164">
        <v>0</v>
      </c>
      <c r="BQ164">
        <v>40</v>
      </c>
      <c r="BR164">
        <v>0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 t="s">
        <v>3</v>
      </c>
      <c r="BZ164">
        <v>97</v>
      </c>
      <c r="CA164">
        <v>51</v>
      </c>
      <c r="CB164" t="s">
        <v>3</v>
      </c>
      <c r="CE164">
        <v>1566</v>
      </c>
      <c r="CF164">
        <v>0</v>
      </c>
      <c r="CG164">
        <v>0</v>
      </c>
      <c r="CM164">
        <v>0</v>
      </c>
      <c r="CN164" t="s">
        <v>454</v>
      </c>
      <c r="CO164">
        <v>0</v>
      </c>
      <c r="CP164">
        <f t="shared" si="153"/>
        <v>0</v>
      </c>
      <c r="CQ164">
        <f t="shared" si="154"/>
        <v>0</v>
      </c>
      <c r="CR164">
        <f>(ROUND((ROUND(((ET164)*AV164*1),2)*BB164),2)+ROUND((ROUND(((AE164-(EU164))*AV164*1),2)*BS164),2))</f>
        <v>0</v>
      </c>
      <c r="CS164">
        <f>(ROUND((ROUND(((EU164)*AV164*1),2)*BS164),2)+ROUND((ROUND(((AE164-(EU164))*AV164*1),2)*BS164),2))</f>
        <v>0</v>
      </c>
      <c r="CT164">
        <f t="shared" si="155"/>
        <v>0</v>
      </c>
      <c r="CU164">
        <f t="shared" si="156"/>
        <v>0</v>
      </c>
      <c r="CV164">
        <f t="shared" si="157"/>
        <v>0</v>
      </c>
      <c r="CW164">
        <f t="shared" si="158"/>
        <v>0</v>
      </c>
      <c r="CX164">
        <f t="shared" si="159"/>
        <v>0</v>
      </c>
      <c r="CY164">
        <f>(ROUND((((S164+ROUND((ROUND(((EU164)*AV164*1),2)*BS164),2))*AT164)/100),2)+ROUND(((ROUND((ROUND(((AE164-(EU164))*AV164*1),2)*BS164),2)*AT164)/100),2))</f>
        <v>0</v>
      </c>
      <c r="CZ164">
        <f>(ROUND((((S164+ROUND((ROUND(((EU164)*AV164*1),2)*BS164),2))*AU164)/100),2)+ROUND(((ROUND((ROUND(((AE164-(EU164))*AV164*1),2)*BS164),2)*AU164)/100),2))</f>
        <v>0</v>
      </c>
      <c r="DC164" t="s">
        <v>3</v>
      </c>
      <c r="DD164" t="s">
        <v>3</v>
      </c>
      <c r="DE164" t="s">
        <v>3</v>
      </c>
      <c r="DF164" t="s">
        <v>3</v>
      </c>
      <c r="DG164" t="s">
        <v>3</v>
      </c>
      <c r="DH164" t="s">
        <v>3</v>
      </c>
      <c r="DI164" t="s">
        <v>3</v>
      </c>
      <c r="DJ164" t="s">
        <v>3</v>
      </c>
      <c r="DK164" t="s">
        <v>3</v>
      </c>
      <c r="DL164" t="s">
        <v>3</v>
      </c>
      <c r="DM164" t="s">
        <v>3</v>
      </c>
      <c r="DN164">
        <v>0</v>
      </c>
      <c r="DO164">
        <v>0</v>
      </c>
      <c r="DP164">
        <v>1</v>
      </c>
      <c r="DQ164">
        <v>1</v>
      </c>
      <c r="DU164">
        <v>1009</v>
      </c>
      <c r="DV164" t="s">
        <v>39</v>
      </c>
      <c r="DW164" t="s">
        <v>39</v>
      </c>
      <c r="DX164">
        <v>1000</v>
      </c>
      <c r="DZ164" t="s">
        <v>3</v>
      </c>
      <c r="EA164" t="s">
        <v>3</v>
      </c>
      <c r="EB164" t="s">
        <v>3</v>
      </c>
      <c r="EC164" t="s">
        <v>3</v>
      </c>
      <c r="EE164">
        <v>76282301</v>
      </c>
      <c r="EF164">
        <v>40</v>
      </c>
      <c r="EG164" t="s">
        <v>20</v>
      </c>
      <c r="EH164">
        <v>0</v>
      </c>
      <c r="EI164" t="s">
        <v>3</v>
      </c>
      <c r="EJ164">
        <v>2</v>
      </c>
      <c r="EK164">
        <v>67</v>
      </c>
      <c r="EL164" t="s">
        <v>21</v>
      </c>
      <c r="EM164" t="s">
        <v>22</v>
      </c>
      <c r="EO164" t="s">
        <v>62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FQ164">
        <v>0</v>
      </c>
      <c r="FR164">
        <v>0</v>
      </c>
      <c r="FS164">
        <v>0</v>
      </c>
      <c r="FX164">
        <v>97</v>
      </c>
      <c r="FY164">
        <v>51</v>
      </c>
      <c r="GA164" t="s">
        <v>3</v>
      </c>
      <c r="GD164">
        <v>1</v>
      </c>
      <c r="GF164">
        <v>-21282126</v>
      </c>
      <c r="GG164">
        <v>2</v>
      </c>
      <c r="GH164">
        <v>0</v>
      </c>
      <c r="GI164">
        <v>-2</v>
      </c>
      <c r="GJ164">
        <v>0</v>
      </c>
      <c r="GK164">
        <v>0</v>
      </c>
      <c r="GL164">
        <f t="shared" si="160"/>
        <v>0</v>
      </c>
      <c r="GM164">
        <f t="shared" si="161"/>
        <v>0</v>
      </c>
      <c r="GN164">
        <f t="shared" si="162"/>
        <v>0</v>
      </c>
      <c r="GO164">
        <f t="shared" si="163"/>
        <v>0</v>
      </c>
      <c r="GP164">
        <f t="shared" si="164"/>
        <v>0</v>
      </c>
      <c r="GR164">
        <v>0</v>
      </c>
      <c r="GS164">
        <v>0</v>
      </c>
      <c r="GT164">
        <v>0</v>
      </c>
      <c r="GU164" t="s">
        <v>3</v>
      </c>
      <c r="GV164">
        <f t="shared" si="165"/>
        <v>0</v>
      </c>
      <c r="GW164">
        <v>1</v>
      </c>
      <c r="GX164">
        <f t="shared" si="166"/>
        <v>0</v>
      </c>
      <c r="HA164">
        <v>0</v>
      </c>
      <c r="HB164">
        <v>0</v>
      </c>
      <c r="HC164">
        <f t="shared" si="167"/>
        <v>0</v>
      </c>
      <c r="HE164" t="s">
        <v>3</v>
      </c>
      <c r="HF164" t="s">
        <v>3</v>
      </c>
      <c r="HM164" t="s">
        <v>60</v>
      </c>
      <c r="HN164" t="s">
        <v>3</v>
      </c>
      <c r="HO164" t="s">
        <v>3</v>
      </c>
      <c r="HP164" t="s">
        <v>3</v>
      </c>
      <c r="HQ164" t="s">
        <v>3</v>
      </c>
      <c r="HS164">
        <v>0</v>
      </c>
      <c r="IK164">
        <v>0</v>
      </c>
    </row>
    <row r="165" spans="1:245">
      <c r="A165">
        <v>17</v>
      </c>
      <c r="B165">
        <v>1</v>
      </c>
      <c r="E165" t="s">
        <v>275</v>
      </c>
      <c r="F165" t="s">
        <v>276</v>
      </c>
      <c r="G165" t="s">
        <v>277</v>
      </c>
      <c r="H165" t="s">
        <v>278</v>
      </c>
      <c r="I165">
        <f>ROUND(1.97*10/1000,9)</f>
        <v>1.9699999999999999E-2</v>
      </c>
      <c r="J165">
        <v>0</v>
      </c>
      <c r="K165">
        <f>ROUND(1.97*10/1000,9)</f>
        <v>1.9699999999999999E-2</v>
      </c>
      <c r="O165">
        <f t="shared" si="143"/>
        <v>1489.71</v>
      </c>
      <c r="P165">
        <f t="shared" si="144"/>
        <v>13.53</v>
      </c>
      <c r="Q165">
        <f>(ROUND((ROUND(((((ET165*1.2)*1))*AV165*I165),2)*BB165),2)+ROUND((ROUND(((AE165-(((EU165*1.2)*1)))*AV165*I165),2)*BS165),2))</f>
        <v>439.39</v>
      </c>
      <c r="R165">
        <f>(ROUND((ROUND(((((EU165*1.2)*1))*AV165*I165),2)*BS165),2)+ROUND((ROUND(((AE165-(((EU165*1.2)*1)))*AV165*I165),2)*BS165),2))</f>
        <v>324.61</v>
      </c>
      <c r="S165">
        <f t="shared" si="145"/>
        <v>1036.79</v>
      </c>
      <c r="T165">
        <f t="shared" si="146"/>
        <v>0</v>
      </c>
      <c r="U165">
        <f t="shared" si="147"/>
        <v>1.4570513999999999</v>
      </c>
      <c r="V165">
        <f t="shared" si="148"/>
        <v>0</v>
      </c>
      <c r="W165">
        <f t="shared" si="149"/>
        <v>0</v>
      </c>
      <c r="X165">
        <f>(ROUND((((S165+ROUND((ROUND(((((EU165*1.2)*1))*AV165*I165),2)*BS165),2))*AT165)/100),2)+ROUND(((ROUND((ROUND(((AE165-(((EU165*1.2)*1)))*AV165*I165),2)*BS165),2)*AT165)/100),2))</f>
        <v>1320.56</v>
      </c>
      <c r="Y165">
        <f>(ROUND((((S165+ROUND((ROUND(((((EU165*1.2)*1))*AV165*I165),2)*BS165),2))*AU165)/100),2)+ROUND(((ROUND((ROUND(((AE165-(((EU165*1.2)*1)))*AV165*I165),2)*BS165),2)*AU165)/100),2))</f>
        <v>694.31</v>
      </c>
      <c r="AA165">
        <v>76282491</v>
      </c>
      <c r="AB165">
        <f t="shared" si="150"/>
        <v>1758.5808</v>
      </c>
      <c r="AC165">
        <f>ROUND((((ES165*1)*1)),6)</f>
        <v>74.25</v>
      </c>
      <c r="AD165">
        <f>ROUND((((((ET165*1.2)*1))-(((EU165*1.2)*1)))+AE165),6)</f>
        <v>773.12400000000002</v>
      </c>
      <c r="AE165">
        <f>ROUND((((EU165*1.2)*1)),6)</f>
        <v>285.15600000000001</v>
      </c>
      <c r="AF165">
        <f>ROUND((((EV165*1.2)*1.05)),6)</f>
        <v>911.20680000000004</v>
      </c>
      <c r="AG165">
        <f t="shared" si="151"/>
        <v>0</v>
      </c>
      <c r="AH165">
        <f>(((EW165*1.2)*1.05))</f>
        <v>73.962000000000003</v>
      </c>
      <c r="AI165">
        <f>(((EX165*1.2)*1))</f>
        <v>0</v>
      </c>
      <c r="AJ165">
        <f t="shared" si="152"/>
        <v>0</v>
      </c>
      <c r="AK165">
        <v>1441.7</v>
      </c>
      <c r="AL165">
        <v>74.25</v>
      </c>
      <c r="AM165">
        <v>644.27</v>
      </c>
      <c r="AN165">
        <v>237.63</v>
      </c>
      <c r="AO165">
        <v>723.18</v>
      </c>
      <c r="AP165">
        <v>0</v>
      </c>
      <c r="AQ165">
        <v>58.7</v>
      </c>
      <c r="AR165">
        <v>0</v>
      </c>
      <c r="AS165">
        <v>0</v>
      </c>
      <c r="AT165">
        <v>97</v>
      </c>
      <c r="AU165">
        <v>51</v>
      </c>
      <c r="AV165">
        <v>1</v>
      </c>
      <c r="AW165">
        <v>1</v>
      </c>
      <c r="AZ165">
        <v>1</v>
      </c>
      <c r="BA165">
        <v>57.76</v>
      </c>
      <c r="BB165">
        <v>28.85</v>
      </c>
      <c r="BC165">
        <v>9.27</v>
      </c>
      <c r="BD165" t="s">
        <v>3</v>
      </c>
      <c r="BE165" t="s">
        <v>3</v>
      </c>
      <c r="BF165" t="s">
        <v>3</v>
      </c>
      <c r="BG165" t="s">
        <v>3</v>
      </c>
      <c r="BH165">
        <v>0</v>
      </c>
      <c r="BI165">
        <v>2</v>
      </c>
      <c r="BJ165" t="s">
        <v>279</v>
      </c>
      <c r="BM165">
        <v>67</v>
      </c>
      <c r="BN165">
        <v>0</v>
      </c>
      <c r="BO165" t="s">
        <v>276</v>
      </c>
      <c r="BP165">
        <v>1</v>
      </c>
      <c r="BQ165">
        <v>40</v>
      </c>
      <c r="BR165">
        <v>0</v>
      </c>
      <c r="BS165">
        <v>57.76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97</v>
      </c>
      <c r="CA165">
        <v>51</v>
      </c>
      <c r="CB165" t="s">
        <v>3</v>
      </c>
      <c r="CE165">
        <v>1566</v>
      </c>
      <c r="CF165">
        <v>0</v>
      </c>
      <c r="CG165">
        <v>0</v>
      </c>
      <c r="CM165">
        <v>0</v>
      </c>
      <c r="CN165" t="s">
        <v>455</v>
      </c>
      <c r="CO165">
        <v>0</v>
      </c>
      <c r="CP165">
        <f t="shared" si="153"/>
        <v>1489.71</v>
      </c>
      <c r="CQ165">
        <f t="shared" si="154"/>
        <v>688.3</v>
      </c>
      <c r="CR165">
        <f>(ROUND((ROUND(((((ET165*1.2)*1))*AV165*1),2)*BB165),2)+ROUND((ROUND(((AE165-(((EU165*1.2)*1)))*AV165*1),2)*BS165),2))</f>
        <v>22304.51</v>
      </c>
      <c r="CS165">
        <f>(ROUND((ROUND(((((EU165*1.2)*1))*AV165*1),2)*BS165),2)+ROUND((ROUND(((AE165-(((EU165*1.2)*1)))*AV165*1),2)*BS165),2))</f>
        <v>16470.84</v>
      </c>
      <c r="CT165">
        <f t="shared" si="155"/>
        <v>52631.49</v>
      </c>
      <c r="CU165">
        <f t="shared" si="156"/>
        <v>0</v>
      </c>
      <c r="CV165">
        <f t="shared" si="157"/>
        <v>73.962000000000003</v>
      </c>
      <c r="CW165">
        <f t="shared" si="158"/>
        <v>0</v>
      </c>
      <c r="CX165">
        <f t="shared" si="159"/>
        <v>0</v>
      </c>
      <c r="CY165">
        <f>(ROUND((((S165+ROUND((ROUND(((((EU165*1.2)*1))*AV165*1),2)*BS165),2))*AT165)/100),2)+ROUND(((ROUND((ROUND(((AE165-(((EU165*1.2)*1)))*AV165*1),2)*BS165),2)*AT165)/100),2))</f>
        <v>16982.400000000001</v>
      </c>
      <c r="CZ165">
        <f>(ROUND((((S165+ROUND((ROUND(((((EU165*1.2)*1))*AV165*1),2)*BS165),2))*AU165)/100),2)+ROUND(((ROUND((ROUND(((AE165-(((EU165*1.2)*1)))*AV165*1),2)*BS165),2)*AU165)/100),2))</f>
        <v>8928.89</v>
      </c>
      <c r="DB165">
        <v>14</v>
      </c>
      <c r="DC165" t="s">
        <v>3</v>
      </c>
      <c r="DD165" t="s">
        <v>280</v>
      </c>
      <c r="DE165" t="s">
        <v>281</v>
      </c>
      <c r="DF165" t="s">
        <v>281</v>
      </c>
      <c r="DG165" t="s">
        <v>282</v>
      </c>
      <c r="DH165" t="s">
        <v>3</v>
      </c>
      <c r="DI165" t="s">
        <v>282</v>
      </c>
      <c r="DJ165" t="s">
        <v>281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1013</v>
      </c>
      <c r="DV165" t="s">
        <v>278</v>
      </c>
      <c r="DW165" t="s">
        <v>278</v>
      </c>
      <c r="DX165">
        <v>1</v>
      </c>
      <c r="DZ165" t="s">
        <v>3</v>
      </c>
      <c r="EA165" t="s">
        <v>3</v>
      </c>
      <c r="EB165" t="s">
        <v>3</v>
      </c>
      <c r="EC165" t="s">
        <v>3</v>
      </c>
      <c r="EE165">
        <v>76282301</v>
      </c>
      <c r="EF165">
        <v>40</v>
      </c>
      <c r="EG165" t="s">
        <v>20</v>
      </c>
      <c r="EH165">
        <v>0</v>
      </c>
      <c r="EI165" t="s">
        <v>3</v>
      </c>
      <c r="EJ165">
        <v>2</v>
      </c>
      <c r="EK165">
        <v>67</v>
      </c>
      <c r="EL165" t="s">
        <v>21</v>
      </c>
      <c r="EM165" t="s">
        <v>22</v>
      </c>
      <c r="EO165" t="s">
        <v>283</v>
      </c>
      <c r="EQ165">
        <v>131072</v>
      </c>
      <c r="ER165">
        <v>1441.7</v>
      </c>
      <c r="ES165">
        <v>74.25</v>
      </c>
      <c r="ET165">
        <v>644.27</v>
      </c>
      <c r="EU165">
        <v>237.63</v>
      </c>
      <c r="EV165">
        <v>723.18</v>
      </c>
      <c r="EW165">
        <v>58.7</v>
      </c>
      <c r="EX165">
        <v>0</v>
      </c>
      <c r="EY165">
        <v>0</v>
      </c>
      <c r="FQ165">
        <v>0</v>
      </c>
      <c r="FR165">
        <v>0</v>
      </c>
      <c r="FS165">
        <v>0</v>
      </c>
      <c r="FX165">
        <v>97</v>
      </c>
      <c r="FY165">
        <v>51</v>
      </c>
      <c r="GA165" t="s">
        <v>3</v>
      </c>
      <c r="GD165">
        <v>1</v>
      </c>
      <c r="GF165">
        <v>521844260</v>
      </c>
      <c r="GG165">
        <v>2</v>
      </c>
      <c r="GH165">
        <v>0</v>
      </c>
      <c r="GI165">
        <v>2</v>
      </c>
      <c r="GJ165">
        <v>0</v>
      </c>
      <c r="GK165">
        <v>0</v>
      </c>
      <c r="GL165">
        <f t="shared" si="160"/>
        <v>0</v>
      </c>
      <c r="GM165">
        <f t="shared" si="161"/>
        <v>3504.58</v>
      </c>
      <c r="GN165">
        <f t="shared" si="162"/>
        <v>0</v>
      </c>
      <c r="GO165">
        <f t="shared" si="163"/>
        <v>3504.58</v>
      </c>
      <c r="GP165">
        <f t="shared" si="164"/>
        <v>0</v>
      </c>
      <c r="GR165">
        <v>0</v>
      </c>
      <c r="GS165">
        <v>7</v>
      </c>
      <c r="GT165">
        <v>0</v>
      </c>
      <c r="GU165" t="s">
        <v>3</v>
      </c>
      <c r="GV165">
        <f t="shared" si="165"/>
        <v>0</v>
      </c>
      <c r="GW165">
        <v>1</v>
      </c>
      <c r="GX165">
        <f t="shared" si="166"/>
        <v>0</v>
      </c>
      <c r="HA165">
        <v>0</v>
      </c>
      <c r="HB165">
        <v>0</v>
      </c>
      <c r="HC165">
        <f t="shared" si="167"/>
        <v>0</v>
      </c>
      <c r="HE165" t="s">
        <v>3</v>
      </c>
      <c r="HF165" t="s">
        <v>3</v>
      </c>
      <c r="HM165" t="s">
        <v>3</v>
      </c>
      <c r="HN165" t="s">
        <v>3</v>
      </c>
      <c r="HO165" t="s">
        <v>3</v>
      </c>
      <c r="HP165" t="s">
        <v>3</v>
      </c>
      <c r="HQ165" t="s">
        <v>3</v>
      </c>
      <c r="HS165">
        <v>0</v>
      </c>
      <c r="IK165">
        <v>0</v>
      </c>
    </row>
    <row r="166" spans="1:245">
      <c r="A166">
        <v>18</v>
      </c>
      <c r="B166">
        <v>1</v>
      </c>
      <c r="E166" t="s">
        <v>284</v>
      </c>
      <c r="F166" t="s">
        <v>285</v>
      </c>
      <c r="G166" t="s">
        <v>286</v>
      </c>
      <c r="H166" t="s">
        <v>215</v>
      </c>
      <c r="I166">
        <f>I165*J166</f>
        <v>0</v>
      </c>
      <c r="J166">
        <v>0</v>
      </c>
      <c r="K166">
        <v>0</v>
      </c>
      <c r="O166">
        <f t="shared" si="143"/>
        <v>0</v>
      </c>
      <c r="P166">
        <f t="shared" si="144"/>
        <v>0</v>
      </c>
      <c r="Q166">
        <f>(ROUND((ROUND(((ET166)*AV166*I166),2)*BB166),2)+ROUND((ROUND(((AE166-(EU166))*AV166*I166),2)*BS166),2))</f>
        <v>0</v>
      </c>
      <c r="R166">
        <f>(ROUND((ROUND(((EU166)*AV166*I166),2)*BS166),2)+ROUND((ROUND(((AE166-(EU166))*AV166*I166),2)*BS166),2))</f>
        <v>0</v>
      </c>
      <c r="S166">
        <f t="shared" si="145"/>
        <v>0</v>
      </c>
      <c r="T166">
        <f t="shared" si="146"/>
        <v>0</v>
      </c>
      <c r="U166">
        <f t="shared" si="147"/>
        <v>0</v>
      </c>
      <c r="V166">
        <f t="shared" si="148"/>
        <v>0</v>
      </c>
      <c r="W166">
        <f t="shared" si="149"/>
        <v>0</v>
      </c>
      <c r="X166">
        <f>(ROUND((((S166+ROUND((ROUND(((EU166)*AV166*I166),2)*BS166),2))*AT166)/100),2)+ROUND(((ROUND((ROUND(((AE166-(EU166))*AV166*I166),2)*BS166),2)*AT166)/100),2))</f>
        <v>0</v>
      </c>
      <c r="Y166">
        <f>(ROUND((((S166+ROUND((ROUND(((EU166)*AV166*I166),2)*BS166),2))*AU166)/100),2)+ROUND(((ROUND((ROUND(((AE166-(EU166))*AV166*I166),2)*BS166),2)*AU166)/100),2))</f>
        <v>0</v>
      </c>
      <c r="AA166">
        <v>76282491</v>
      </c>
      <c r="AB166">
        <f t="shared" si="150"/>
        <v>0</v>
      </c>
      <c r="AC166">
        <f>ROUND((ES166),6)</f>
        <v>0</v>
      </c>
      <c r="AD166">
        <f>ROUND((((ET166)-(EU166))+AE166),6)</f>
        <v>0</v>
      </c>
      <c r="AE166">
        <f t="shared" ref="AE166:AF168" si="170">ROUND((EU166),6)</f>
        <v>0</v>
      </c>
      <c r="AF166">
        <f t="shared" si="170"/>
        <v>0</v>
      </c>
      <c r="AG166">
        <f t="shared" si="151"/>
        <v>0</v>
      </c>
      <c r="AH166">
        <f t="shared" ref="AH166:AI168" si="171">(EW166)</f>
        <v>0</v>
      </c>
      <c r="AI166">
        <f t="shared" si="171"/>
        <v>0</v>
      </c>
      <c r="AJ166">
        <f t="shared" si="152"/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97</v>
      </c>
      <c r="AU166">
        <v>51</v>
      </c>
      <c r="AV166">
        <v>1</v>
      </c>
      <c r="AW166">
        <v>1</v>
      </c>
      <c r="AZ166">
        <v>1</v>
      </c>
      <c r="BA166">
        <v>1</v>
      </c>
      <c r="BB166">
        <v>1</v>
      </c>
      <c r="BC166">
        <v>1</v>
      </c>
      <c r="BD166" t="s">
        <v>3</v>
      </c>
      <c r="BE166" t="s">
        <v>3</v>
      </c>
      <c r="BF166" t="s">
        <v>3</v>
      </c>
      <c r="BG166" t="s">
        <v>3</v>
      </c>
      <c r="BH166">
        <v>3</v>
      </c>
      <c r="BI166">
        <v>2</v>
      </c>
      <c r="BJ166" t="s">
        <v>3</v>
      </c>
      <c r="BM166">
        <v>67</v>
      </c>
      <c r="BN166">
        <v>0</v>
      </c>
      <c r="BO166" t="s">
        <v>3</v>
      </c>
      <c r="BP166">
        <v>0</v>
      </c>
      <c r="BQ166">
        <v>40</v>
      </c>
      <c r="BR166">
        <v>0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 t="s">
        <v>3</v>
      </c>
      <c r="BZ166">
        <v>97</v>
      </c>
      <c r="CA166">
        <v>51</v>
      </c>
      <c r="CB166" t="s">
        <v>3</v>
      </c>
      <c r="CE166">
        <v>1566</v>
      </c>
      <c r="CF166">
        <v>0</v>
      </c>
      <c r="CG166">
        <v>0</v>
      </c>
      <c r="CM166">
        <v>0</v>
      </c>
      <c r="CN166" t="s">
        <v>456</v>
      </c>
      <c r="CO166">
        <v>0</v>
      </c>
      <c r="CP166">
        <f t="shared" si="153"/>
        <v>0</v>
      </c>
      <c r="CQ166">
        <f t="shared" si="154"/>
        <v>0</v>
      </c>
      <c r="CR166">
        <f>(ROUND((ROUND(((ET166)*AV166*1),2)*BB166),2)+ROUND((ROUND(((AE166-(EU166))*AV166*1),2)*BS166),2))</f>
        <v>0</v>
      </c>
      <c r="CS166">
        <f>(ROUND((ROUND(((EU166)*AV166*1),2)*BS166),2)+ROUND((ROUND(((AE166-(EU166))*AV166*1),2)*BS166),2))</f>
        <v>0</v>
      </c>
      <c r="CT166">
        <f t="shared" si="155"/>
        <v>0</v>
      </c>
      <c r="CU166">
        <f t="shared" si="156"/>
        <v>0</v>
      </c>
      <c r="CV166">
        <f t="shared" si="157"/>
        <v>0</v>
      </c>
      <c r="CW166">
        <f t="shared" si="158"/>
        <v>0</v>
      </c>
      <c r="CX166">
        <f t="shared" si="159"/>
        <v>0</v>
      </c>
      <c r="CY166">
        <f>(ROUND((((S166+ROUND((ROUND(((EU166)*AV166*1),2)*BS166),2))*AT166)/100),2)+ROUND(((ROUND((ROUND(((AE166-(EU166))*AV166*1),2)*BS166),2)*AT166)/100),2))</f>
        <v>0</v>
      </c>
      <c r="CZ166">
        <f>(ROUND((((S166+ROUND((ROUND(((EU166)*AV166*1),2)*BS166),2))*AU166)/100),2)+ROUND(((ROUND((ROUND(((AE166-(EU166))*AV166*1),2)*BS166),2)*AU166)/100),2))</f>
        <v>0</v>
      </c>
      <c r="DC166" t="s">
        <v>3</v>
      </c>
      <c r="DD166" t="s">
        <v>3</v>
      </c>
      <c r="DE166" t="s">
        <v>3</v>
      </c>
      <c r="DF166" t="s">
        <v>3</v>
      </c>
      <c r="DG166" t="s">
        <v>3</v>
      </c>
      <c r="DH166" t="s">
        <v>3</v>
      </c>
      <c r="DI166" t="s">
        <v>3</v>
      </c>
      <c r="DJ166" t="s">
        <v>3</v>
      </c>
      <c r="DK166" t="s">
        <v>3</v>
      </c>
      <c r="DL166" t="s">
        <v>3</v>
      </c>
      <c r="DM166" t="s">
        <v>3</v>
      </c>
      <c r="DN166">
        <v>0</v>
      </c>
      <c r="DO166">
        <v>0</v>
      </c>
      <c r="DP166">
        <v>1</v>
      </c>
      <c r="DQ166">
        <v>1</v>
      </c>
      <c r="DU166">
        <v>1003</v>
      </c>
      <c r="DV166" t="s">
        <v>215</v>
      </c>
      <c r="DW166" t="s">
        <v>215</v>
      </c>
      <c r="DX166">
        <v>1</v>
      </c>
      <c r="DZ166" t="s">
        <v>3</v>
      </c>
      <c r="EA166" t="s">
        <v>3</v>
      </c>
      <c r="EB166" t="s">
        <v>3</v>
      </c>
      <c r="EC166" t="s">
        <v>3</v>
      </c>
      <c r="EE166">
        <v>76282301</v>
      </c>
      <c r="EF166">
        <v>40</v>
      </c>
      <c r="EG166" t="s">
        <v>20</v>
      </c>
      <c r="EH166">
        <v>0</v>
      </c>
      <c r="EI166" t="s">
        <v>3</v>
      </c>
      <c r="EJ166">
        <v>2</v>
      </c>
      <c r="EK166">
        <v>67</v>
      </c>
      <c r="EL166" t="s">
        <v>21</v>
      </c>
      <c r="EM166" t="s">
        <v>22</v>
      </c>
      <c r="EO166" t="s">
        <v>287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FQ166">
        <v>0</v>
      </c>
      <c r="FR166">
        <v>0</v>
      </c>
      <c r="FS166">
        <v>0</v>
      </c>
      <c r="FX166">
        <v>97</v>
      </c>
      <c r="FY166">
        <v>51</v>
      </c>
      <c r="GA166" t="s">
        <v>3</v>
      </c>
      <c r="GD166">
        <v>1</v>
      </c>
      <c r="GF166">
        <v>-164986415</v>
      </c>
      <c r="GG166">
        <v>2</v>
      </c>
      <c r="GH166">
        <v>0</v>
      </c>
      <c r="GI166">
        <v>-2</v>
      </c>
      <c r="GJ166">
        <v>0</v>
      </c>
      <c r="GK166">
        <v>0</v>
      </c>
      <c r="GL166">
        <f t="shared" si="160"/>
        <v>0</v>
      </c>
      <c r="GM166">
        <f t="shared" si="161"/>
        <v>0</v>
      </c>
      <c r="GN166">
        <f t="shared" si="162"/>
        <v>0</v>
      </c>
      <c r="GO166">
        <f t="shared" si="163"/>
        <v>0</v>
      </c>
      <c r="GP166">
        <f t="shared" si="164"/>
        <v>0</v>
      </c>
      <c r="GR166">
        <v>0</v>
      </c>
      <c r="GS166">
        <v>0</v>
      </c>
      <c r="GT166">
        <v>0</v>
      </c>
      <c r="GU166" t="s">
        <v>3</v>
      </c>
      <c r="GV166">
        <f t="shared" si="165"/>
        <v>0</v>
      </c>
      <c r="GW166">
        <v>1</v>
      </c>
      <c r="GX166">
        <f t="shared" si="166"/>
        <v>0</v>
      </c>
      <c r="HA166">
        <v>0</v>
      </c>
      <c r="HB166">
        <v>0</v>
      </c>
      <c r="HC166">
        <f t="shared" si="167"/>
        <v>0</v>
      </c>
      <c r="HE166" t="s">
        <v>3</v>
      </c>
      <c r="HF166" t="s">
        <v>3</v>
      </c>
      <c r="HM166" t="s">
        <v>280</v>
      </c>
      <c r="HN166" t="s">
        <v>3</v>
      </c>
      <c r="HO166" t="s">
        <v>3</v>
      </c>
      <c r="HP166" t="s">
        <v>3</v>
      </c>
      <c r="HQ166" t="s">
        <v>3</v>
      </c>
      <c r="HS166">
        <v>0</v>
      </c>
      <c r="IK166">
        <v>0</v>
      </c>
    </row>
    <row r="167" spans="1:245">
      <c r="A167">
        <v>18</v>
      </c>
      <c r="B167">
        <v>1</v>
      </c>
      <c r="E167" t="s">
        <v>288</v>
      </c>
      <c r="F167" t="s">
        <v>285</v>
      </c>
      <c r="G167" t="s">
        <v>289</v>
      </c>
      <c r="H167" t="s">
        <v>215</v>
      </c>
      <c r="I167">
        <f>I165*J167</f>
        <v>0</v>
      </c>
      <c r="J167">
        <v>0</v>
      </c>
      <c r="K167">
        <v>0</v>
      </c>
      <c r="O167">
        <f t="shared" si="143"/>
        <v>0</v>
      </c>
      <c r="P167">
        <f t="shared" si="144"/>
        <v>0</v>
      </c>
      <c r="Q167">
        <f>(ROUND((ROUND(((ET167)*AV167*I167),2)*BB167),2)+ROUND((ROUND(((AE167-(EU167))*AV167*I167),2)*BS167),2))</f>
        <v>0</v>
      </c>
      <c r="R167">
        <f>(ROUND((ROUND(((EU167)*AV167*I167),2)*BS167),2)+ROUND((ROUND(((AE167-(EU167))*AV167*I167),2)*BS167),2))</f>
        <v>0</v>
      </c>
      <c r="S167">
        <f t="shared" si="145"/>
        <v>0</v>
      </c>
      <c r="T167">
        <f t="shared" si="146"/>
        <v>0</v>
      </c>
      <c r="U167">
        <f t="shared" si="147"/>
        <v>0</v>
      </c>
      <c r="V167">
        <f t="shared" si="148"/>
        <v>0</v>
      </c>
      <c r="W167">
        <f t="shared" si="149"/>
        <v>0</v>
      </c>
      <c r="X167">
        <f>(ROUND((((S167+ROUND((ROUND(((EU167)*AV167*I167),2)*BS167),2))*AT167)/100),2)+ROUND(((ROUND((ROUND(((AE167-(EU167))*AV167*I167),2)*BS167),2)*AT167)/100),2))</f>
        <v>0</v>
      </c>
      <c r="Y167">
        <f>(ROUND((((S167+ROUND((ROUND(((EU167)*AV167*I167),2)*BS167),2))*AU167)/100),2)+ROUND(((ROUND((ROUND(((AE167-(EU167))*AV167*I167),2)*BS167),2)*AU167)/100),2))</f>
        <v>0</v>
      </c>
      <c r="AA167">
        <v>76282491</v>
      </c>
      <c r="AB167">
        <f t="shared" si="150"/>
        <v>0</v>
      </c>
      <c r="AC167">
        <f>ROUND((ES167),6)</f>
        <v>0</v>
      </c>
      <c r="AD167">
        <f>ROUND((((ET167)-(EU167))+AE167),6)</f>
        <v>0</v>
      </c>
      <c r="AE167">
        <f t="shared" si="170"/>
        <v>0</v>
      </c>
      <c r="AF167">
        <f t="shared" si="170"/>
        <v>0</v>
      </c>
      <c r="AG167">
        <f t="shared" si="151"/>
        <v>0</v>
      </c>
      <c r="AH167">
        <f t="shared" si="171"/>
        <v>0</v>
      </c>
      <c r="AI167">
        <f t="shared" si="171"/>
        <v>0</v>
      </c>
      <c r="AJ167">
        <f t="shared" si="152"/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97</v>
      </c>
      <c r="AU167">
        <v>51</v>
      </c>
      <c r="AV167">
        <v>1</v>
      </c>
      <c r="AW167">
        <v>1</v>
      </c>
      <c r="AZ167">
        <v>1</v>
      </c>
      <c r="BA167">
        <v>1</v>
      </c>
      <c r="BB167">
        <v>1</v>
      </c>
      <c r="BC167">
        <v>1</v>
      </c>
      <c r="BD167" t="s">
        <v>3</v>
      </c>
      <c r="BE167" t="s">
        <v>3</v>
      </c>
      <c r="BF167" t="s">
        <v>3</v>
      </c>
      <c r="BG167" t="s">
        <v>3</v>
      </c>
      <c r="BH167">
        <v>3</v>
      </c>
      <c r="BI167">
        <v>2</v>
      </c>
      <c r="BJ167" t="s">
        <v>3</v>
      </c>
      <c r="BM167">
        <v>67</v>
      </c>
      <c r="BN167">
        <v>0</v>
      </c>
      <c r="BO167" t="s">
        <v>3</v>
      </c>
      <c r="BP167">
        <v>0</v>
      </c>
      <c r="BQ167">
        <v>40</v>
      </c>
      <c r="BR167">
        <v>0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 t="s">
        <v>3</v>
      </c>
      <c r="BZ167">
        <v>97</v>
      </c>
      <c r="CA167">
        <v>51</v>
      </c>
      <c r="CB167" t="s">
        <v>3</v>
      </c>
      <c r="CE167">
        <v>1566</v>
      </c>
      <c r="CF167">
        <v>0</v>
      </c>
      <c r="CG167">
        <v>0</v>
      </c>
      <c r="CM167">
        <v>0</v>
      </c>
      <c r="CN167" t="s">
        <v>456</v>
      </c>
      <c r="CO167">
        <v>0</v>
      </c>
      <c r="CP167">
        <f t="shared" si="153"/>
        <v>0</v>
      </c>
      <c r="CQ167">
        <f t="shared" si="154"/>
        <v>0</v>
      </c>
      <c r="CR167">
        <f>(ROUND((ROUND(((ET167)*AV167*1),2)*BB167),2)+ROUND((ROUND(((AE167-(EU167))*AV167*1),2)*BS167),2))</f>
        <v>0</v>
      </c>
      <c r="CS167">
        <f>(ROUND((ROUND(((EU167)*AV167*1),2)*BS167),2)+ROUND((ROUND(((AE167-(EU167))*AV167*1),2)*BS167),2))</f>
        <v>0</v>
      </c>
      <c r="CT167">
        <f t="shared" si="155"/>
        <v>0</v>
      </c>
      <c r="CU167">
        <f t="shared" si="156"/>
        <v>0</v>
      </c>
      <c r="CV167">
        <f t="shared" si="157"/>
        <v>0</v>
      </c>
      <c r="CW167">
        <f t="shared" si="158"/>
        <v>0</v>
      </c>
      <c r="CX167">
        <f t="shared" si="159"/>
        <v>0</v>
      </c>
      <c r="CY167">
        <f>(ROUND((((S167+ROUND((ROUND(((EU167)*AV167*1),2)*BS167),2))*AT167)/100),2)+ROUND(((ROUND((ROUND(((AE167-(EU167))*AV167*1),2)*BS167),2)*AT167)/100),2))</f>
        <v>0</v>
      </c>
      <c r="CZ167">
        <f>(ROUND((((S167+ROUND((ROUND(((EU167)*AV167*1),2)*BS167),2))*AU167)/100),2)+ROUND(((ROUND((ROUND(((AE167-(EU167))*AV167*1),2)*BS167),2)*AU167)/100),2))</f>
        <v>0</v>
      </c>
      <c r="DC167" t="s">
        <v>3</v>
      </c>
      <c r="DD167" t="s">
        <v>3</v>
      </c>
      <c r="DE167" t="s">
        <v>3</v>
      </c>
      <c r="DF167" t="s">
        <v>3</v>
      </c>
      <c r="DG167" t="s">
        <v>3</v>
      </c>
      <c r="DH167" t="s">
        <v>3</v>
      </c>
      <c r="DI167" t="s">
        <v>3</v>
      </c>
      <c r="DJ167" t="s">
        <v>3</v>
      </c>
      <c r="DK167" t="s">
        <v>3</v>
      </c>
      <c r="DL167" t="s">
        <v>3</v>
      </c>
      <c r="DM167" t="s">
        <v>3</v>
      </c>
      <c r="DN167">
        <v>0</v>
      </c>
      <c r="DO167">
        <v>0</v>
      </c>
      <c r="DP167">
        <v>1</v>
      </c>
      <c r="DQ167">
        <v>1</v>
      </c>
      <c r="DU167">
        <v>1003</v>
      </c>
      <c r="DV167" t="s">
        <v>215</v>
      </c>
      <c r="DW167" t="s">
        <v>215</v>
      </c>
      <c r="DX167">
        <v>1</v>
      </c>
      <c r="DZ167" t="s">
        <v>3</v>
      </c>
      <c r="EA167" t="s">
        <v>3</v>
      </c>
      <c r="EB167" t="s">
        <v>3</v>
      </c>
      <c r="EC167" t="s">
        <v>3</v>
      </c>
      <c r="EE167">
        <v>76282301</v>
      </c>
      <c r="EF167">
        <v>40</v>
      </c>
      <c r="EG167" t="s">
        <v>20</v>
      </c>
      <c r="EH167">
        <v>0</v>
      </c>
      <c r="EI167" t="s">
        <v>3</v>
      </c>
      <c r="EJ167">
        <v>2</v>
      </c>
      <c r="EK167">
        <v>67</v>
      </c>
      <c r="EL167" t="s">
        <v>21</v>
      </c>
      <c r="EM167" t="s">
        <v>22</v>
      </c>
      <c r="EO167" t="s">
        <v>287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FQ167">
        <v>0</v>
      </c>
      <c r="FR167">
        <v>0</v>
      </c>
      <c r="FS167">
        <v>0</v>
      </c>
      <c r="FX167">
        <v>97</v>
      </c>
      <c r="FY167">
        <v>51</v>
      </c>
      <c r="GA167" t="s">
        <v>3</v>
      </c>
      <c r="GD167">
        <v>1</v>
      </c>
      <c r="GF167">
        <v>1334806369</v>
      </c>
      <c r="GG167">
        <v>2</v>
      </c>
      <c r="GH167">
        <v>0</v>
      </c>
      <c r="GI167">
        <v>-2</v>
      </c>
      <c r="GJ167">
        <v>0</v>
      </c>
      <c r="GK167">
        <v>0</v>
      </c>
      <c r="GL167">
        <f t="shared" si="160"/>
        <v>0</v>
      </c>
      <c r="GM167">
        <f t="shared" si="161"/>
        <v>0</v>
      </c>
      <c r="GN167">
        <f t="shared" si="162"/>
        <v>0</v>
      </c>
      <c r="GO167">
        <f t="shared" si="163"/>
        <v>0</v>
      </c>
      <c r="GP167">
        <f t="shared" si="164"/>
        <v>0</v>
      </c>
      <c r="GR167">
        <v>0</v>
      </c>
      <c r="GS167">
        <v>0</v>
      </c>
      <c r="GT167">
        <v>0</v>
      </c>
      <c r="GU167" t="s">
        <v>3</v>
      </c>
      <c r="GV167">
        <f t="shared" si="165"/>
        <v>0</v>
      </c>
      <c r="GW167">
        <v>1</v>
      </c>
      <c r="GX167">
        <f t="shared" si="166"/>
        <v>0</v>
      </c>
      <c r="HA167">
        <v>0</v>
      </c>
      <c r="HB167">
        <v>0</v>
      </c>
      <c r="HC167">
        <f t="shared" si="167"/>
        <v>0</v>
      </c>
      <c r="HE167" t="s">
        <v>3</v>
      </c>
      <c r="HF167" t="s">
        <v>3</v>
      </c>
      <c r="HM167" t="s">
        <v>280</v>
      </c>
      <c r="HN167" t="s">
        <v>3</v>
      </c>
      <c r="HO167" t="s">
        <v>3</v>
      </c>
      <c r="HP167" t="s">
        <v>3</v>
      </c>
      <c r="HQ167" t="s">
        <v>3</v>
      </c>
      <c r="HS167">
        <v>0</v>
      </c>
      <c r="IK167">
        <v>0</v>
      </c>
    </row>
    <row r="168" spans="1:245">
      <c r="A168">
        <v>17</v>
      </c>
      <c r="B168">
        <v>1</v>
      </c>
      <c r="E168" t="s">
        <v>290</v>
      </c>
      <c r="F168" t="s">
        <v>291</v>
      </c>
      <c r="G168" t="s">
        <v>292</v>
      </c>
      <c r="H168" t="s">
        <v>215</v>
      </c>
      <c r="I168">
        <v>10</v>
      </c>
      <c r="J168">
        <v>0</v>
      </c>
      <c r="K168">
        <v>10</v>
      </c>
      <c r="O168">
        <f t="shared" si="143"/>
        <v>1596.29</v>
      </c>
      <c r="P168">
        <f t="shared" si="144"/>
        <v>1596.29</v>
      </c>
      <c r="Q168">
        <f>(ROUND((ROUND(((ET168)*AV168*I168),2)*BB168),2)+ROUND((ROUND(((AE168-(EU168))*AV168*I168),2)*BS168),2))</f>
        <v>0</v>
      </c>
      <c r="R168">
        <f>(ROUND((ROUND(((EU168)*AV168*I168),2)*BS168),2)+ROUND((ROUND(((AE168-(EU168))*AV168*I168),2)*BS168),2))</f>
        <v>0</v>
      </c>
      <c r="S168">
        <f t="shared" si="145"/>
        <v>0</v>
      </c>
      <c r="T168">
        <f t="shared" si="146"/>
        <v>0</v>
      </c>
      <c r="U168">
        <f t="shared" si="147"/>
        <v>0</v>
      </c>
      <c r="V168">
        <f t="shared" si="148"/>
        <v>0</v>
      </c>
      <c r="W168">
        <f t="shared" si="149"/>
        <v>0</v>
      </c>
      <c r="X168">
        <f>(ROUND((((S168+ROUND((ROUND(((EU168)*AV168*I168),2)*BS168),2))*AT168)/100),2)+ROUND(((ROUND((ROUND(((AE168-(EU168))*AV168*I168),2)*BS168),2)*AT168)/100),2))</f>
        <v>0</v>
      </c>
      <c r="Y168">
        <f>(ROUND((((S168+ROUND((ROUND(((EU168)*AV168*I168),2)*BS168),2))*AU168)/100),2)+ROUND(((ROUND((ROUND(((AE168-(EU168))*AV168*I168),2)*BS168),2)*AU168)/100),2))</f>
        <v>0</v>
      </c>
      <c r="AA168">
        <v>76282491</v>
      </c>
      <c r="AB168">
        <f t="shared" si="150"/>
        <v>81.03</v>
      </c>
      <c r="AC168">
        <f>ROUND((ES168),6)</f>
        <v>81.03</v>
      </c>
      <c r="AD168">
        <f>ROUND((((ET168)-(EU168))+AE168),6)</f>
        <v>0</v>
      </c>
      <c r="AE168">
        <f t="shared" si="170"/>
        <v>0</v>
      </c>
      <c r="AF168">
        <f t="shared" si="170"/>
        <v>0</v>
      </c>
      <c r="AG168">
        <f t="shared" si="151"/>
        <v>0</v>
      </c>
      <c r="AH168">
        <f t="shared" si="171"/>
        <v>0</v>
      </c>
      <c r="AI168">
        <f t="shared" si="171"/>
        <v>0</v>
      </c>
      <c r="AJ168">
        <f t="shared" si="152"/>
        <v>0</v>
      </c>
      <c r="AK168">
        <v>81.03</v>
      </c>
      <c r="AL168">
        <v>81.03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1</v>
      </c>
      <c r="AZ168">
        <v>1</v>
      </c>
      <c r="BA168">
        <v>1</v>
      </c>
      <c r="BB168">
        <v>1</v>
      </c>
      <c r="BC168">
        <v>1.97</v>
      </c>
      <c r="BD168" t="s">
        <v>3</v>
      </c>
      <c r="BE168" t="s">
        <v>3</v>
      </c>
      <c r="BF168" t="s">
        <v>3</v>
      </c>
      <c r="BG168" t="s">
        <v>3</v>
      </c>
      <c r="BH168">
        <v>3</v>
      </c>
      <c r="BI168">
        <v>2</v>
      </c>
      <c r="BJ168" t="s">
        <v>293</v>
      </c>
      <c r="BM168">
        <v>1618</v>
      </c>
      <c r="BN168">
        <v>0</v>
      </c>
      <c r="BO168" t="s">
        <v>291</v>
      </c>
      <c r="BP168">
        <v>1</v>
      </c>
      <c r="BQ168">
        <v>201</v>
      </c>
      <c r="BR168">
        <v>0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 t="s">
        <v>3</v>
      </c>
      <c r="BZ168">
        <v>0</v>
      </c>
      <c r="CA168">
        <v>0</v>
      </c>
      <c r="CB168" t="s">
        <v>3</v>
      </c>
      <c r="CE168">
        <v>1566</v>
      </c>
      <c r="CF168">
        <v>0</v>
      </c>
      <c r="CG168">
        <v>0</v>
      </c>
      <c r="CM168">
        <v>0</v>
      </c>
      <c r="CN168" t="s">
        <v>3</v>
      </c>
      <c r="CO168">
        <v>0</v>
      </c>
      <c r="CP168">
        <f t="shared" si="153"/>
        <v>1596.29</v>
      </c>
      <c r="CQ168">
        <f t="shared" si="154"/>
        <v>159.63</v>
      </c>
      <c r="CR168">
        <f>(ROUND((ROUND(((ET168)*AV168*1),2)*BB168),2)+ROUND((ROUND(((AE168-(EU168))*AV168*1),2)*BS168),2))</f>
        <v>0</v>
      </c>
      <c r="CS168">
        <f>(ROUND((ROUND(((EU168)*AV168*1),2)*BS168),2)+ROUND((ROUND(((AE168-(EU168))*AV168*1),2)*BS168),2))</f>
        <v>0</v>
      </c>
      <c r="CT168">
        <f t="shared" si="155"/>
        <v>0</v>
      </c>
      <c r="CU168">
        <f t="shared" si="156"/>
        <v>0</v>
      </c>
      <c r="CV168">
        <f t="shared" si="157"/>
        <v>0</v>
      </c>
      <c r="CW168">
        <f t="shared" si="158"/>
        <v>0</v>
      </c>
      <c r="CX168">
        <f t="shared" si="159"/>
        <v>0</v>
      </c>
      <c r="CY168">
        <f>(ROUND((((S168+ROUND((ROUND(((EU168)*AV168*1),2)*BS168),2))*AT168)/100),2)+ROUND(((ROUND((ROUND(((AE168-(EU168))*AV168*1),2)*BS168),2)*AT168)/100),2))</f>
        <v>0</v>
      </c>
      <c r="CZ168">
        <f>(ROUND((((S168+ROUND((ROUND(((EU168)*AV168*1),2)*BS168),2))*AU168)/100),2)+ROUND(((ROUND((ROUND(((AE168-(EU168))*AV168*1),2)*BS168),2)*AU168)/100),2))</f>
        <v>0</v>
      </c>
      <c r="DC168" t="s">
        <v>3</v>
      </c>
      <c r="DD168" t="s">
        <v>3</v>
      </c>
      <c r="DE168" t="s">
        <v>3</v>
      </c>
      <c r="DF168" t="s">
        <v>3</v>
      </c>
      <c r="DG168" t="s">
        <v>3</v>
      </c>
      <c r="DH168" t="s">
        <v>3</v>
      </c>
      <c r="DI168" t="s">
        <v>3</v>
      </c>
      <c r="DJ168" t="s">
        <v>3</v>
      </c>
      <c r="DK168" t="s">
        <v>3</v>
      </c>
      <c r="DL168" t="s">
        <v>3</v>
      </c>
      <c r="DM168" t="s">
        <v>3</v>
      </c>
      <c r="DN168">
        <v>0</v>
      </c>
      <c r="DO168">
        <v>0</v>
      </c>
      <c r="DP168">
        <v>1</v>
      </c>
      <c r="DQ168">
        <v>1</v>
      </c>
      <c r="DU168">
        <v>1003</v>
      </c>
      <c r="DV168" t="s">
        <v>215</v>
      </c>
      <c r="DW168" t="s">
        <v>215</v>
      </c>
      <c r="DX168">
        <v>1</v>
      </c>
      <c r="DZ168" t="s">
        <v>3</v>
      </c>
      <c r="EA168" t="s">
        <v>3</v>
      </c>
      <c r="EB168" t="s">
        <v>3</v>
      </c>
      <c r="EC168" t="s">
        <v>3</v>
      </c>
      <c r="EE168">
        <v>76282429</v>
      </c>
      <c r="EF168">
        <v>201</v>
      </c>
      <c r="EG168" t="s">
        <v>294</v>
      </c>
      <c r="EH168">
        <v>0</v>
      </c>
      <c r="EI168" t="s">
        <v>3</v>
      </c>
      <c r="EJ168">
        <v>2</v>
      </c>
      <c r="EK168">
        <v>1618</v>
      </c>
      <c r="EL168" t="s">
        <v>295</v>
      </c>
      <c r="EM168" t="s">
        <v>296</v>
      </c>
      <c r="EO168" t="s">
        <v>3</v>
      </c>
      <c r="EQ168">
        <v>131072</v>
      </c>
      <c r="ER168">
        <v>81.03</v>
      </c>
      <c r="ES168">
        <v>81.03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FQ168">
        <v>0</v>
      </c>
      <c r="FR168">
        <v>0</v>
      </c>
      <c r="FS168">
        <v>0</v>
      </c>
      <c r="FX168">
        <v>0</v>
      </c>
      <c r="FY168">
        <v>0</v>
      </c>
      <c r="GA168" t="s">
        <v>3</v>
      </c>
      <c r="GD168">
        <v>1</v>
      </c>
      <c r="GF168">
        <v>2084787891</v>
      </c>
      <c r="GG168">
        <v>2</v>
      </c>
      <c r="GH168">
        <v>0</v>
      </c>
      <c r="GI168">
        <v>2</v>
      </c>
      <c r="GJ168">
        <v>0</v>
      </c>
      <c r="GK168">
        <v>0</v>
      </c>
      <c r="GL168">
        <f t="shared" si="160"/>
        <v>0</v>
      </c>
      <c r="GM168">
        <f t="shared" si="161"/>
        <v>1596.29</v>
      </c>
      <c r="GN168">
        <f t="shared" si="162"/>
        <v>0</v>
      </c>
      <c r="GO168">
        <f t="shared" si="163"/>
        <v>1596.29</v>
      </c>
      <c r="GP168">
        <f t="shared" si="164"/>
        <v>0</v>
      </c>
      <c r="GR168">
        <v>0</v>
      </c>
      <c r="GS168">
        <v>0</v>
      </c>
      <c r="GT168">
        <v>0</v>
      </c>
      <c r="GU168" t="s">
        <v>3</v>
      </c>
      <c r="GV168">
        <f t="shared" si="165"/>
        <v>0</v>
      </c>
      <c r="GW168">
        <v>1</v>
      </c>
      <c r="GX168">
        <f t="shared" si="166"/>
        <v>0</v>
      </c>
      <c r="HA168">
        <v>0</v>
      </c>
      <c r="HB168">
        <v>0</v>
      </c>
      <c r="HC168">
        <f t="shared" si="167"/>
        <v>0</v>
      </c>
      <c r="HE168" t="s">
        <v>3</v>
      </c>
      <c r="HF168" t="s">
        <v>3</v>
      </c>
      <c r="HM168" t="s">
        <v>3</v>
      </c>
      <c r="HN168" t="s">
        <v>3</v>
      </c>
      <c r="HO168" t="s">
        <v>3</v>
      </c>
      <c r="HP168" t="s">
        <v>3</v>
      </c>
      <c r="HQ168" t="s">
        <v>3</v>
      </c>
      <c r="HS168">
        <v>0</v>
      </c>
      <c r="IK168">
        <v>0</v>
      </c>
    </row>
    <row r="169" spans="1:245">
      <c r="A169">
        <v>17</v>
      </c>
      <c r="B169">
        <v>1</v>
      </c>
      <c r="E169" t="s">
        <v>297</v>
      </c>
      <c r="F169" t="s">
        <v>298</v>
      </c>
      <c r="G169" t="s">
        <v>299</v>
      </c>
      <c r="H169" t="s">
        <v>300</v>
      </c>
      <c r="I169">
        <f>ROUND(10/100,9)</f>
        <v>0.1</v>
      </c>
      <c r="J169">
        <v>0</v>
      </c>
      <c r="K169">
        <f>ROUND(10/100,9)</f>
        <v>0.1</v>
      </c>
      <c r="O169">
        <f t="shared" si="143"/>
        <v>547.65</v>
      </c>
      <c r="P169">
        <f t="shared" si="144"/>
        <v>5.64</v>
      </c>
      <c r="Q169">
        <f>(ROUND((ROUND(((((ET169*1.2)*1))*AV169*I169),2)*BB169),2)+ROUND((ROUND(((AE169-(((EU169*1.2)*1)))*AV169*I169),2)*BS169),2))</f>
        <v>5.42</v>
      </c>
      <c r="R169">
        <f>(ROUND((ROUND(((((EU169*1.2)*1))*AV169*I169),2)*BS169),2)+ROUND((ROUND(((AE169-(((EU169*1.2)*1)))*AV169*I169),2)*BS169),2))</f>
        <v>2.89</v>
      </c>
      <c r="S169">
        <f t="shared" si="145"/>
        <v>536.59</v>
      </c>
      <c r="T169">
        <f t="shared" si="146"/>
        <v>0</v>
      </c>
      <c r="U169">
        <f t="shared" si="147"/>
        <v>0.81774000000000013</v>
      </c>
      <c r="V169">
        <f t="shared" si="148"/>
        <v>0</v>
      </c>
      <c r="W169">
        <f t="shared" si="149"/>
        <v>0</v>
      </c>
      <c r="X169">
        <f>(ROUND((((S169+ROUND((ROUND(((((EU169*1.2)*1))*AV169*I169),2)*BS169),2))*AT169)/100),2)+ROUND(((ROUND((ROUND(((AE169-(((EU169*1.2)*1)))*AV169*I169),2)*BS169),2)*AT169)/100),2))</f>
        <v>523.29999999999995</v>
      </c>
      <c r="Y169">
        <f>(ROUND((((S169+ROUND((ROUND(((((EU169*1.2)*1))*AV169*I169),2)*BS169),2))*AU169)/100),2)+ROUND(((ROUND((ROUND(((AE169-(((EU169*1.2)*1)))*AV169*I169),2)*BS169),2)*AU169)/100),2))</f>
        <v>275.13</v>
      </c>
      <c r="AA169">
        <v>76282491</v>
      </c>
      <c r="AB169">
        <f t="shared" si="150"/>
        <v>104.8486</v>
      </c>
      <c r="AC169">
        <f>ROUND((((ES169*1)*1)),6)</f>
        <v>9.25</v>
      </c>
      <c r="AD169">
        <f>ROUND((((((ET169*1.2)*1))-(((EU169*1.2)*1)))+AE169),6)</f>
        <v>2.7240000000000002</v>
      </c>
      <c r="AE169">
        <f>ROUND((((EU169*1.2)*1)),6)</f>
        <v>0.48</v>
      </c>
      <c r="AF169">
        <f>ROUND((((EV169*1.2)*1.05)),6)</f>
        <v>92.874600000000001</v>
      </c>
      <c r="AG169">
        <f t="shared" si="151"/>
        <v>0</v>
      </c>
      <c r="AH169">
        <f>(((EW169*1.2)*1.05))</f>
        <v>8.1774000000000004</v>
      </c>
      <c r="AI169">
        <f>(((EX169*1.2)*1))</f>
        <v>0</v>
      </c>
      <c r="AJ169">
        <f t="shared" si="152"/>
        <v>0</v>
      </c>
      <c r="AK169">
        <v>85.23</v>
      </c>
      <c r="AL169">
        <v>9.25</v>
      </c>
      <c r="AM169">
        <v>2.27</v>
      </c>
      <c r="AN169">
        <v>0.4</v>
      </c>
      <c r="AO169">
        <v>73.709999999999994</v>
      </c>
      <c r="AP169">
        <v>0</v>
      </c>
      <c r="AQ169">
        <v>6.49</v>
      </c>
      <c r="AR169">
        <v>0</v>
      </c>
      <c r="AS169">
        <v>0</v>
      </c>
      <c r="AT169">
        <v>97</v>
      </c>
      <c r="AU169">
        <v>51</v>
      </c>
      <c r="AV169">
        <v>1</v>
      </c>
      <c r="AW169">
        <v>1</v>
      </c>
      <c r="AZ169">
        <v>1</v>
      </c>
      <c r="BA169">
        <v>57.76</v>
      </c>
      <c r="BB169">
        <v>20.07</v>
      </c>
      <c r="BC169">
        <v>6.06</v>
      </c>
      <c r="BD169" t="s">
        <v>3</v>
      </c>
      <c r="BE169" t="s">
        <v>3</v>
      </c>
      <c r="BF169" t="s">
        <v>3</v>
      </c>
      <c r="BG169" t="s">
        <v>3</v>
      </c>
      <c r="BH169">
        <v>0</v>
      </c>
      <c r="BI169">
        <v>2</v>
      </c>
      <c r="BJ169" t="s">
        <v>301</v>
      </c>
      <c r="BM169">
        <v>67</v>
      </c>
      <c r="BN169">
        <v>0</v>
      </c>
      <c r="BO169" t="s">
        <v>298</v>
      </c>
      <c r="BP169">
        <v>1</v>
      </c>
      <c r="BQ169">
        <v>40</v>
      </c>
      <c r="BR169">
        <v>0</v>
      </c>
      <c r="BS169">
        <v>57.76</v>
      </c>
      <c r="BT169">
        <v>1</v>
      </c>
      <c r="BU169">
        <v>1</v>
      </c>
      <c r="BV169">
        <v>1</v>
      </c>
      <c r="BW169">
        <v>1</v>
      </c>
      <c r="BX169">
        <v>1</v>
      </c>
      <c r="BY169" t="s">
        <v>3</v>
      </c>
      <c r="BZ169">
        <v>97</v>
      </c>
      <c r="CA169">
        <v>51</v>
      </c>
      <c r="CB169" t="s">
        <v>3</v>
      </c>
      <c r="CE169">
        <v>1566</v>
      </c>
      <c r="CF169">
        <v>0</v>
      </c>
      <c r="CG169">
        <v>0</v>
      </c>
      <c r="CM169">
        <v>0</v>
      </c>
      <c r="CN169" t="s">
        <v>455</v>
      </c>
      <c r="CO169">
        <v>0</v>
      </c>
      <c r="CP169">
        <f t="shared" si="153"/>
        <v>547.65</v>
      </c>
      <c r="CQ169">
        <f t="shared" si="154"/>
        <v>56.06</v>
      </c>
      <c r="CR169">
        <f>(ROUND((ROUND(((((ET169*1.2)*1))*AV169*1),2)*BB169),2)+ROUND((ROUND(((AE169-(((EU169*1.2)*1)))*AV169*1),2)*BS169),2))</f>
        <v>54.59</v>
      </c>
      <c r="CS169">
        <f>(ROUND((ROUND(((((EU169*1.2)*1))*AV169*1),2)*BS169),2)+ROUND((ROUND(((AE169-(((EU169*1.2)*1)))*AV169*1),2)*BS169),2))</f>
        <v>27.72</v>
      </c>
      <c r="CT169">
        <f t="shared" si="155"/>
        <v>5364.17</v>
      </c>
      <c r="CU169">
        <f t="shared" si="156"/>
        <v>0</v>
      </c>
      <c r="CV169">
        <f t="shared" si="157"/>
        <v>8.1774000000000004</v>
      </c>
      <c r="CW169">
        <f t="shared" si="158"/>
        <v>0</v>
      </c>
      <c r="CX169">
        <f t="shared" si="159"/>
        <v>0</v>
      </c>
      <c r="CY169">
        <f>(ROUND((((S169+ROUND((ROUND(((((EU169*1.2)*1))*AV169*1),2)*BS169),2))*AT169)/100),2)+ROUND(((ROUND((ROUND(((AE169-(((EU169*1.2)*1)))*AV169*1),2)*BS169),2)*AT169)/100),2))</f>
        <v>547.38</v>
      </c>
      <c r="CZ169">
        <f>(ROUND((((S169+ROUND((ROUND(((((EU169*1.2)*1))*AV169*1),2)*BS169),2))*AU169)/100),2)+ROUND(((ROUND((ROUND(((AE169-(((EU169*1.2)*1)))*AV169*1),2)*BS169),2)*AU169)/100),2))</f>
        <v>287.8</v>
      </c>
      <c r="DB169">
        <v>16</v>
      </c>
      <c r="DC169" t="s">
        <v>3</v>
      </c>
      <c r="DD169" t="s">
        <v>280</v>
      </c>
      <c r="DE169" t="s">
        <v>281</v>
      </c>
      <c r="DF169" t="s">
        <v>281</v>
      </c>
      <c r="DG169" t="s">
        <v>282</v>
      </c>
      <c r="DH169" t="s">
        <v>3</v>
      </c>
      <c r="DI169" t="s">
        <v>282</v>
      </c>
      <c r="DJ169" t="s">
        <v>281</v>
      </c>
      <c r="DK169" t="s">
        <v>3</v>
      </c>
      <c r="DL169" t="s">
        <v>3</v>
      </c>
      <c r="DM169" t="s">
        <v>3</v>
      </c>
      <c r="DN169">
        <v>0</v>
      </c>
      <c r="DO169">
        <v>0</v>
      </c>
      <c r="DP169">
        <v>1</v>
      </c>
      <c r="DQ169">
        <v>1</v>
      </c>
      <c r="DU169">
        <v>1013</v>
      </c>
      <c r="DV169" t="s">
        <v>300</v>
      </c>
      <c r="DW169" t="s">
        <v>300</v>
      </c>
      <c r="DX169">
        <v>1</v>
      </c>
      <c r="DZ169" t="s">
        <v>3</v>
      </c>
      <c r="EA169" t="s">
        <v>3</v>
      </c>
      <c r="EB169" t="s">
        <v>3</v>
      </c>
      <c r="EC169" t="s">
        <v>3</v>
      </c>
      <c r="EE169">
        <v>76282301</v>
      </c>
      <c r="EF169">
        <v>40</v>
      </c>
      <c r="EG169" t="s">
        <v>20</v>
      </c>
      <c r="EH169">
        <v>0</v>
      </c>
      <c r="EI169" t="s">
        <v>3</v>
      </c>
      <c r="EJ169">
        <v>2</v>
      </c>
      <c r="EK169">
        <v>67</v>
      </c>
      <c r="EL169" t="s">
        <v>21</v>
      </c>
      <c r="EM169" t="s">
        <v>22</v>
      </c>
      <c r="EO169" t="s">
        <v>283</v>
      </c>
      <c r="EQ169">
        <v>131072</v>
      </c>
      <c r="ER169">
        <v>85.23</v>
      </c>
      <c r="ES169">
        <v>9.25</v>
      </c>
      <c r="ET169">
        <v>2.27</v>
      </c>
      <c r="EU169">
        <v>0.4</v>
      </c>
      <c r="EV169">
        <v>73.709999999999994</v>
      </c>
      <c r="EW169">
        <v>6.49</v>
      </c>
      <c r="EX169">
        <v>0</v>
      </c>
      <c r="EY169">
        <v>0</v>
      </c>
      <c r="FQ169">
        <v>0</v>
      </c>
      <c r="FR169">
        <v>0</v>
      </c>
      <c r="FS169">
        <v>0</v>
      </c>
      <c r="FX169">
        <v>97</v>
      </c>
      <c r="FY169">
        <v>51</v>
      </c>
      <c r="GA169" t="s">
        <v>3</v>
      </c>
      <c r="GD169">
        <v>1</v>
      </c>
      <c r="GF169">
        <v>-120072832</v>
      </c>
      <c r="GG169">
        <v>2</v>
      </c>
      <c r="GH169">
        <v>0</v>
      </c>
      <c r="GI169">
        <v>2</v>
      </c>
      <c r="GJ169">
        <v>0</v>
      </c>
      <c r="GK169">
        <v>0</v>
      </c>
      <c r="GL169">
        <f t="shared" si="160"/>
        <v>0</v>
      </c>
      <c r="GM169">
        <f t="shared" si="161"/>
        <v>1346.08</v>
      </c>
      <c r="GN169">
        <f t="shared" si="162"/>
        <v>0</v>
      </c>
      <c r="GO169">
        <f t="shared" si="163"/>
        <v>1346.08</v>
      </c>
      <c r="GP169">
        <f t="shared" si="164"/>
        <v>0</v>
      </c>
      <c r="GR169">
        <v>0</v>
      </c>
      <c r="GS169">
        <v>7</v>
      </c>
      <c r="GT169">
        <v>0</v>
      </c>
      <c r="GU169" t="s">
        <v>3</v>
      </c>
      <c r="GV169">
        <f t="shared" si="165"/>
        <v>0</v>
      </c>
      <c r="GW169">
        <v>1</v>
      </c>
      <c r="GX169">
        <f t="shared" si="166"/>
        <v>0</v>
      </c>
      <c r="HA169">
        <v>0</v>
      </c>
      <c r="HB169">
        <v>0</v>
      </c>
      <c r="HC169">
        <f t="shared" si="167"/>
        <v>0</v>
      </c>
      <c r="HE169" t="s">
        <v>3</v>
      </c>
      <c r="HF169" t="s">
        <v>3</v>
      </c>
      <c r="HM169" t="s">
        <v>3</v>
      </c>
      <c r="HN169" t="s">
        <v>3</v>
      </c>
      <c r="HO169" t="s">
        <v>3</v>
      </c>
      <c r="HP169" t="s">
        <v>3</v>
      </c>
      <c r="HQ169" t="s">
        <v>3</v>
      </c>
      <c r="HS169">
        <v>0</v>
      </c>
      <c r="IK169">
        <v>0</v>
      </c>
    </row>
    <row r="170" spans="1:245">
      <c r="A170">
        <v>18</v>
      </c>
      <c r="B170">
        <v>1</v>
      </c>
      <c r="E170" t="s">
        <v>302</v>
      </c>
      <c r="F170" t="s">
        <v>303</v>
      </c>
      <c r="G170" t="s">
        <v>304</v>
      </c>
      <c r="H170" t="s">
        <v>32</v>
      </c>
      <c r="I170">
        <f>I169*J170</f>
        <v>0</v>
      </c>
      <c r="J170">
        <v>0</v>
      </c>
      <c r="K170">
        <v>0</v>
      </c>
      <c r="O170">
        <f t="shared" si="143"/>
        <v>0</v>
      </c>
      <c r="P170">
        <f t="shared" si="144"/>
        <v>0</v>
      </c>
      <c r="Q170">
        <f>(ROUND((ROUND(((ET170)*AV170*I170),2)*BB170),2)+ROUND((ROUND(((AE170-(EU170))*AV170*I170),2)*BS170),2))</f>
        <v>0</v>
      </c>
      <c r="R170">
        <f>(ROUND((ROUND(((EU170)*AV170*I170),2)*BS170),2)+ROUND((ROUND(((AE170-(EU170))*AV170*I170),2)*BS170),2))</f>
        <v>0</v>
      </c>
      <c r="S170">
        <f t="shared" si="145"/>
        <v>0</v>
      </c>
      <c r="T170">
        <f t="shared" si="146"/>
        <v>0</v>
      </c>
      <c r="U170">
        <f t="shared" si="147"/>
        <v>0</v>
      </c>
      <c r="V170">
        <f t="shared" si="148"/>
        <v>0</v>
      </c>
      <c r="W170">
        <f t="shared" si="149"/>
        <v>0</v>
      </c>
      <c r="X170">
        <f>(ROUND((((S170+ROUND((ROUND(((EU170)*AV170*I170),2)*BS170),2))*AT170)/100),2)+ROUND(((ROUND((ROUND(((AE170-(EU170))*AV170*I170),2)*BS170),2)*AT170)/100),2))</f>
        <v>0</v>
      </c>
      <c r="Y170">
        <f>(ROUND((((S170+ROUND((ROUND(((EU170)*AV170*I170),2)*BS170),2))*AU170)/100),2)+ROUND(((ROUND((ROUND(((AE170-(EU170))*AV170*I170),2)*BS170),2)*AU170)/100),2))</f>
        <v>0</v>
      </c>
      <c r="AA170">
        <v>76282491</v>
      </c>
      <c r="AB170">
        <f t="shared" si="150"/>
        <v>0</v>
      </c>
      <c r="AC170">
        <f>ROUND((ES170),6)</f>
        <v>0</v>
      </c>
      <c r="AD170">
        <f>ROUND((((ET170)-(EU170))+AE170),6)</f>
        <v>0</v>
      </c>
      <c r="AE170">
        <f t="shared" ref="AE170:AF173" si="172">ROUND((EU170),6)</f>
        <v>0</v>
      </c>
      <c r="AF170">
        <f t="shared" si="172"/>
        <v>0</v>
      </c>
      <c r="AG170">
        <f t="shared" si="151"/>
        <v>0</v>
      </c>
      <c r="AH170">
        <f t="shared" ref="AH170:AI173" si="173">(EW170)</f>
        <v>0</v>
      </c>
      <c r="AI170">
        <f t="shared" si="173"/>
        <v>0</v>
      </c>
      <c r="AJ170">
        <f t="shared" si="152"/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97</v>
      </c>
      <c r="AU170">
        <v>51</v>
      </c>
      <c r="AV170">
        <v>1</v>
      </c>
      <c r="AW170">
        <v>1</v>
      </c>
      <c r="AZ170">
        <v>1</v>
      </c>
      <c r="BA170">
        <v>1</v>
      </c>
      <c r="BB170">
        <v>1</v>
      </c>
      <c r="BC170">
        <v>1</v>
      </c>
      <c r="BD170" t="s">
        <v>3</v>
      </c>
      <c r="BE170" t="s">
        <v>3</v>
      </c>
      <c r="BF170" t="s">
        <v>3</v>
      </c>
      <c r="BG170" t="s">
        <v>3</v>
      </c>
      <c r="BH170">
        <v>3</v>
      </c>
      <c r="BI170">
        <v>2</v>
      </c>
      <c r="BJ170" t="s">
        <v>3</v>
      </c>
      <c r="BM170">
        <v>67</v>
      </c>
      <c r="BN170">
        <v>0</v>
      </c>
      <c r="BO170" t="s">
        <v>3</v>
      </c>
      <c r="BP170">
        <v>0</v>
      </c>
      <c r="BQ170">
        <v>40</v>
      </c>
      <c r="BR170">
        <v>0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 t="s">
        <v>3</v>
      </c>
      <c r="BZ170">
        <v>97</v>
      </c>
      <c r="CA170">
        <v>51</v>
      </c>
      <c r="CB170" t="s">
        <v>3</v>
      </c>
      <c r="CE170">
        <v>1566</v>
      </c>
      <c r="CF170">
        <v>0</v>
      </c>
      <c r="CG170">
        <v>0</v>
      </c>
      <c r="CM170">
        <v>0</v>
      </c>
      <c r="CN170" t="s">
        <v>456</v>
      </c>
      <c r="CO170">
        <v>0</v>
      </c>
      <c r="CP170">
        <f t="shared" si="153"/>
        <v>0</v>
      </c>
      <c r="CQ170">
        <f t="shared" si="154"/>
        <v>0</v>
      </c>
      <c r="CR170">
        <f>(ROUND((ROUND(((ET170)*AV170*1),2)*BB170),2)+ROUND((ROUND(((AE170-(EU170))*AV170*1),2)*BS170),2))</f>
        <v>0</v>
      </c>
      <c r="CS170">
        <f>(ROUND((ROUND(((EU170)*AV170*1),2)*BS170),2)+ROUND((ROUND(((AE170-(EU170))*AV170*1),2)*BS170),2))</f>
        <v>0</v>
      </c>
      <c r="CT170">
        <f t="shared" si="155"/>
        <v>0</v>
      </c>
      <c r="CU170">
        <f t="shared" si="156"/>
        <v>0</v>
      </c>
      <c r="CV170">
        <f t="shared" si="157"/>
        <v>0</v>
      </c>
      <c r="CW170">
        <f t="shared" si="158"/>
        <v>0</v>
      </c>
      <c r="CX170">
        <f t="shared" si="159"/>
        <v>0</v>
      </c>
      <c r="CY170">
        <f>(ROUND((((S170+ROUND((ROUND(((EU170)*AV170*1),2)*BS170),2))*AT170)/100),2)+ROUND(((ROUND((ROUND(((AE170-(EU170))*AV170*1),2)*BS170),2)*AT170)/100),2))</f>
        <v>0</v>
      </c>
      <c r="CZ170">
        <f>(ROUND((((S170+ROUND((ROUND(((EU170)*AV170*1),2)*BS170),2))*AU170)/100),2)+ROUND(((ROUND((ROUND(((AE170-(EU170))*AV170*1),2)*BS170),2)*AU170)/100),2))</f>
        <v>0</v>
      </c>
      <c r="DC170" t="s">
        <v>3</v>
      </c>
      <c r="DD170" t="s">
        <v>3</v>
      </c>
      <c r="DE170" t="s">
        <v>3</v>
      </c>
      <c r="DF170" t="s">
        <v>3</v>
      </c>
      <c r="DG170" t="s">
        <v>3</v>
      </c>
      <c r="DH170" t="s">
        <v>3</v>
      </c>
      <c r="DI170" t="s">
        <v>3</v>
      </c>
      <c r="DJ170" t="s">
        <v>3</v>
      </c>
      <c r="DK170" t="s">
        <v>3</v>
      </c>
      <c r="DL170" t="s">
        <v>3</v>
      </c>
      <c r="DM170" t="s">
        <v>3</v>
      </c>
      <c r="DN170">
        <v>0</v>
      </c>
      <c r="DO170">
        <v>0</v>
      </c>
      <c r="DP170">
        <v>1</v>
      </c>
      <c r="DQ170">
        <v>1</v>
      </c>
      <c r="DU170">
        <v>1010</v>
      </c>
      <c r="DV170" t="s">
        <v>32</v>
      </c>
      <c r="DW170" t="s">
        <v>32</v>
      </c>
      <c r="DX170">
        <v>1</v>
      </c>
      <c r="DZ170" t="s">
        <v>3</v>
      </c>
      <c r="EA170" t="s">
        <v>3</v>
      </c>
      <c r="EB170" t="s">
        <v>3</v>
      </c>
      <c r="EC170" t="s">
        <v>3</v>
      </c>
      <c r="EE170">
        <v>76282301</v>
      </c>
      <c r="EF170">
        <v>40</v>
      </c>
      <c r="EG170" t="s">
        <v>20</v>
      </c>
      <c r="EH170">
        <v>0</v>
      </c>
      <c r="EI170" t="s">
        <v>3</v>
      </c>
      <c r="EJ170">
        <v>2</v>
      </c>
      <c r="EK170">
        <v>67</v>
      </c>
      <c r="EL170" t="s">
        <v>21</v>
      </c>
      <c r="EM170" t="s">
        <v>22</v>
      </c>
      <c r="EO170" t="s">
        <v>287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FQ170">
        <v>0</v>
      </c>
      <c r="FR170">
        <v>0</v>
      </c>
      <c r="FS170">
        <v>0</v>
      </c>
      <c r="FX170">
        <v>97</v>
      </c>
      <c r="FY170">
        <v>51</v>
      </c>
      <c r="GA170" t="s">
        <v>3</v>
      </c>
      <c r="GD170">
        <v>1</v>
      </c>
      <c r="GF170">
        <v>1543966508</v>
      </c>
      <c r="GG170">
        <v>2</v>
      </c>
      <c r="GH170">
        <v>0</v>
      </c>
      <c r="GI170">
        <v>-2</v>
      </c>
      <c r="GJ170">
        <v>0</v>
      </c>
      <c r="GK170">
        <v>0</v>
      </c>
      <c r="GL170">
        <f t="shared" si="160"/>
        <v>0</v>
      </c>
      <c r="GM170">
        <f t="shared" si="161"/>
        <v>0</v>
      </c>
      <c r="GN170">
        <f t="shared" si="162"/>
        <v>0</v>
      </c>
      <c r="GO170">
        <f t="shared" si="163"/>
        <v>0</v>
      </c>
      <c r="GP170">
        <f t="shared" si="164"/>
        <v>0</v>
      </c>
      <c r="GR170">
        <v>0</v>
      </c>
      <c r="GS170">
        <v>0</v>
      </c>
      <c r="GT170">
        <v>0</v>
      </c>
      <c r="GU170" t="s">
        <v>3</v>
      </c>
      <c r="GV170">
        <f t="shared" si="165"/>
        <v>0</v>
      </c>
      <c r="GW170">
        <v>1</v>
      </c>
      <c r="GX170">
        <f t="shared" si="166"/>
        <v>0</v>
      </c>
      <c r="HA170">
        <v>0</v>
      </c>
      <c r="HB170">
        <v>0</v>
      </c>
      <c r="HC170">
        <f t="shared" si="167"/>
        <v>0</v>
      </c>
      <c r="HE170" t="s">
        <v>3</v>
      </c>
      <c r="HF170" t="s">
        <v>3</v>
      </c>
      <c r="HM170" t="s">
        <v>280</v>
      </c>
      <c r="HN170" t="s">
        <v>3</v>
      </c>
      <c r="HO170" t="s">
        <v>3</v>
      </c>
      <c r="HP170" t="s">
        <v>3</v>
      </c>
      <c r="HQ170" t="s">
        <v>3</v>
      </c>
      <c r="HS170">
        <v>0</v>
      </c>
      <c r="IK170">
        <v>0</v>
      </c>
    </row>
    <row r="171" spans="1:245">
      <c r="A171">
        <v>18</v>
      </c>
      <c r="B171">
        <v>1</v>
      </c>
      <c r="E171" t="s">
        <v>305</v>
      </c>
      <c r="F171" t="s">
        <v>306</v>
      </c>
      <c r="G171" t="s">
        <v>307</v>
      </c>
      <c r="H171" t="s">
        <v>32</v>
      </c>
      <c r="I171">
        <f>I169*J171</f>
        <v>1.3340000000000001</v>
      </c>
      <c r="J171">
        <v>13.34</v>
      </c>
      <c r="K171">
        <v>13.34</v>
      </c>
      <c r="O171">
        <f t="shared" si="143"/>
        <v>0</v>
      </c>
      <c r="P171">
        <f t="shared" si="144"/>
        <v>0</v>
      </c>
      <c r="Q171">
        <f>(ROUND((ROUND(((ET171)*AV171*I171),2)*BB171),2)+ROUND((ROUND(((AE171-(EU171))*AV171*I171),2)*BS171),2))</f>
        <v>0</v>
      </c>
      <c r="R171">
        <f>(ROUND((ROUND(((EU171)*AV171*I171),2)*BS171),2)+ROUND((ROUND(((AE171-(EU171))*AV171*I171),2)*BS171),2))</f>
        <v>0</v>
      </c>
      <c r="S171">
        <f t="shared" si="145"/>
        <v>0</v>
      </c>
      <c r="T171">
        <f t="shared" si="146"/>
        <v>0</v>
      </c>
      <c r="U171">
        <f t="shared" si="147"/>
        <v>0</v>
      </c>
      <c r="V171">
        <f t="shared" si="148"/>
        <v>0</v>
      </c>
      <c r="W171">
        <f t="shared" si="149"/>
        <v>0</v>
      </c>
      <c r="X171">
        <f>(ROUND((((S171+ROUND((ROUND(((EU171)*AV171*I171),2)*BS171),2))*AT171)/100),2)+ROUND(((ROUND((ROUND(((AE171-(EU171))*AV171*I171),2)*BS171),2)*AT171)/100),2))</f>
        <v>0</v>
      </c>
      <c r="Y171">
        <f>(ROUND((((S171+ROUND((ROUND(((EU171)*AV171*I171),2)*BS171),2))*AU171)/100),2)+ROUND(((ROUND((ROUND(((AE171-(EU171))*AV171*I171),2)*BS171),2)*AU171)/100),2))</f>
        <v>0</v>
      </c>
      <c r="AA171">
        <v>76282491</v>
      </c>
      <c r="AB171">
        <f t="shared" si="150"/>
        <v>0</v>
      </c>
      <c r="AC171">
        <f>ROUND((ES171),6)</f>
        <v>0</v>
      </c>
      <c r="AD171">
        <f>ROUND((((ET171)-(EU171))+AE171),6)</f>
        <v>0</v>
      </c>
      <c r="AE171">
        <f t="shared" si="172"/>
        <v>0</v>
      </c>
      <c r="AF171">
        <f t="shared" si="172"/>
        <v>0</v>
      </c>
      <c r="AG171">
        <f t="shared" si="151"/>
        <v>0</v>
      </c>
      <c r="AH171">
        <f t="shared" si="173"/>
        <v>0</v>
      </c>
      <c r="AI171">
        <f t="shared" si="173"/>
        <v>0</v>
      </c>
      <c r="AJ171">
        <f t="shared" si="152"/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97</v>
      </c>
      <c r="AU171">
        <v>51</v>
      </c>
      <c r="AV171">
        <v>1</v>
      </c>
      <c r="AW171">
        <v>1</v>
      </c>
      <c r="AZ171">
        <v>1</v>
      </c>
      <c r="BA171">
        <v>1</v>
      </c>
      <c r="BB171">
        <v>1</v>
      </c>
      <c r="BC171">
        <v>1</v>
      </c>
      <c r="BD171" t="s">
        <v>3</v>
      </c>
      <c r="BE171" t="s">
        <v>3</v>
      </c>
      <c r="BF171" t="s">
        <v>3</v>
      </c>
      <c r="BG171" t="s">
        <v>3</v>
      </c>
      <c r="BH171">
        <v>3</v>
      </c>
      <c r="BI171">
        <v>2</v>
      </c>
      <c r="BJ171" t="s">
        <v>3</v>
      </c>
      <c r="BM171">
        <v>67</v>
      </c>
      <c r="BN171">
        <v>0</v>
      </c>
      <c r="BO171" t="s">
        <v>3</v>
      </c>
      <c r="BP171">
        <v>0</v>
      </c>
      <c r="BQ171">
        <v>40</v>
      </c>
      <c r="BR171">
        <v>0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 t="s">
        <v>3</v>
      </c>
      <c r="BZ171">
        <v>97</v>
      </c>
      <c r="CA171">
        <v>51</v>
      </c>
      <c r="CB171" t="s">
        <v>3</v>
      </c>
      <c r="CE171">
        <v>1566</v>
      </c>
      <c r="CF171">
        <v>0</v>
      </c>
      <c r="CG171">
        <v>0</v>
      </c>
      <c r="CM171">
        <v>0</v>
      </c>
      <c r="CN171" t="s">
        <v>456</v>
      </c>
      <c r="CO171">
        <v>0</v>
      </c>
      <c r="CP171">
        <f t="shared" si="153"/>
        <v>0</v>
      </c>
      <c r="CQ171">
        <f t="shared" si="154"/>
        <v>0</v>
      </c>
      <c r="CR171">
        <f>(ROUND((ROUND(((ET171)*AV171*1),2)*BB171),2)+ROUND((ROUND(((AE171-(EU171))*AV171*1),2)*BS171),2))</f>
        <v>0</v>
      </c>
      <c r="CS171">
        <f>(ROUND((ROUND(((EU171)*AV171*1),2)*BS171),2)+ROUND((ROUND(((AE171-(EU171))*AV171*1),2)*BS171),2))</f>
        <v>0</v>
      </c>
      <c r="CT171">
        <f t="shared" si="155"/>
        <v>0</v>
      </c>
      <c r="CU171">
        <f t="shared" si="156"/>
        <v>0</v>
      </c>
      <c r="CV171">
        <f t="shared" si="157"/>
        <v>0</v>
      </c>
      <c r="CW171">
        <f t="shared" si="158"/>
        <v>0</v>
      </c>
      <c r="CX171">
        <f t="shared" si="159"/>
        <v>0</v>
      </c>
      <c r="CY171">
        <f>(ROUND((((S171+ROUND((ROUND(((EU171)*AV171*1),2)*BS171),2))*AT171)/100),2)+ROUND(((ROUND((ROUND(((AE171-(EU171))*AV171*1),2)*BS171),2)*AT171)/100),2))</f>
        <v>0</v>
      </c>
      <c r="CZ171">
        <f>(ROUND((((S171+ROUND((ROUND(((EU171)*AV171*1),2)*BS171),2))*AU171)/100),2)+ROUND(((ROUND((ROUND(((AE171-(EU171))*AV171*1),2)*BS171),2)*AU171)/100),2))</f>
        <v>0</v>
      </c>
      <c r="DC171" t="s">
        <v>3</v>
      </c>
      <c r="DD171" t="s">
        <v>3</v>
      </c>
      <c r="DE171" t="s">
        <v>3</v>
      </c>
      <c r="DF171" t="s">
        <v>3</v>
      </c>
      <c r="DG171" t="s">
        <v>3</v>
      </c>
      <c r="DH171" t="s">
        <v>3</v>
      </c>
      <c r="DI171" t="s">
        <v>3</v>
      </c>
      <c r="DJ171" t="s">
        <v>3</v>
      </c>
      <c r="DK171" t="s">
        <v>3</v>
      </c>
      <c r="DL171" t="s">
        <v>3</v>
      </c>
      <c r="DM171" t="s">
        <v>3</v>
      </c>
      <c r="DN171">
        <v>0</v>
      </c>
      <c r="DO171">
        <v>0</v>
      </c>
      <c r="DP171">
        <v>1</v>
      </c>
      <c r="DQ171">
        <v>1</v>
      </c>
      <c r="DU171">
        <v>1010</v>
      </c>
      <c r="DV171" t="s">
        <v>32</v>
      </c>
      <c r="DW171" t="s">
        <v>32</v>
      </c>
      <c r="DX171">
        <v>1</v>
      </c>
      <c r="DZ171" t="s">
        <v>3</v>
      </c>
      <c r="EA171" t="s">
        <v>3</v>
      </c>
      <c r="EB171" t="s">
        <v>3</v>
      </c>
      <c r="EC171" t="s">
        <v>3</v>
      </c>
      <c r="EE171">
        <v>76282301</v>
      </c>
      <c r="EF171">
        <v>40</v>
      </c>
      <c r="EG171" t="s">
        <v>20</v>
      </c>
      <c r="EH171">
        <v>0</v>
      </c>
      <c r="EI171" t="s">
        <v>3</v>
      </c>
      <c r="EJ171">
        <v>2</v>
      </c>
      <c r="EK171">
        <v>67</v>
      </c>
      <c r="EL171" t="s">
        <v>21</v>
      </c>
      <c r="EM171" t="s">
        <v>22</v>
      </c>
      <c r="EO171" t="s">
        <v>287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FQ171">
        <v>0</v>
      </c>
      <c r="FR171">
        <v>0</v>
      </c>
      <c r="FS171">
        <v>0</v>
      </c>
      <c r="FX171">
        <v>97</v>
      </c>
      <c r="FY171">
        <v>51</v>
      </c>
      <c r="GA171" t="s">
        <v>3</v>
      </c>
      <c r="GD171">
        <v>1</v>
      </c>
      <c r="GF171">
        <v>418482425</v>
      </c>
      <c r="GG171">
        <v>2</v>
      </c>
      <c r="GH171">
        <v>0</v>
      </c>
      <c r="GI171">
        <v>-2</v>
      </c>
      <c r="GJ171">
        <v>0</v>
      </c>
      <c r="GK171">
        <v>0</v>
      </c>
      <c r="GL171">
        <f t="shared" si="160"/>
        <v>0</v>
      </c>
      <c r="GM171">
        <f t="shared" si="161"/>
        <v>0</v>
      </c>
      <c r="GN171">
        <f t="shared" si="162"/>
        <v>0</v>
      </c>
      <c r="GO171">
        <f t="shared" si="163"/>
        <v>0</v>
      </c>
      <c r="GP171">
        <f t="shared" si="164"/>
        <v>0</v>
      </c>
      <c r="GR171">
        <v>0</v>
      </c>
      <c r="GS171">
        <v>0</v>
      </c>
      <c r="GT171">
        <v>0</v>
      </c>
      <c r="GU171" t="s">
        <v>3</v>
      </c>
      <c r="GV171">
        <f t="shared" si="165"/>
        <v>0</v>
      </c>
      <c r="GW171">
        <v>1</v>
      </c>
      <c r="GX171">
        <f t="shared" si="166"/>
        <v>0</v>
      </c>
      <c r="HA171">
        <v>0</v>
      </c>
      <c r="HB171">
        <v>0</v>
      </c>
      <c r="HC171">
        <f t="shared" si="167"/>
        <v>0</v>
      </c>
      <c r="HE171" t="s">
        <v>3</v>
      </c>
      <c r="HF171" t="s">
        <v>3</v>
      </c>
      <c r="HM171" t="s">
        <v>280</v>
      </c>
      <c r="HN171" t="s">
        <v>3</v>
      </c>
      <c r="HO171" t="s">
        <v>3</v>
      </c>
      <c r="HP171" t="s">
        <v>3</v>
      </c>
      <c r="HQ171" t="s">
        <v>3</v>
      </c>
      <c r="HS171">
        <v>0</v>
      </c>
      <c r="IK171">
        <v>0</v>
      </c>
    </row>
    <row r="172" spans="1:245">
      <c r="A172">
        <v>18</v>
      </c>
      <c r="B172">
        <v>1</v>
      </c>
      <c r="E172" t="s">
        <v>308</v>
      </c>
      <c r="F172" t="s">
        <v>309</v>
      </c>
      <c r="G172" t="s">
        <v>310</v>
      </c>
      <c r="H172" t="s">
        <v>27</v>
      </c>
      <c r="I172">
        <f>I169*J172</f>
        <v>8.5999999999999993E-2</v>
      </c>
      <c r="J172">
        <v>0.85999999999999988</v>
      </c>
      <c r="K172">
        <v>0.86</v>
      </c>
      <c r="O172">
        <f t="shared" si="143"/>
        <v>0</v>
      </c>
      <c r="P172">
        <f t="shared" si="144"/>
        <v>0</v>
      </c>
      <c r="Q172">
        <f>(ROUND((ROUND(((ET172)*AV172*I172),2)*BB172),2)+ROUND((ROUND(((AE172-(EU172))*AV172*I172),2)*BS172),2))</f>
        <v>0</v>
      </c>
      <c r="R172">
        <f>(ROUND((ROUND(((EU172)*AV172*I172),2)*BS172),2)+ROUND((ROUND(((AE172-(EU172))*AV172*I172),2)*BS172),2))</f>
        <v>0</v>
      </c>
      <c r="S172">
        <f t="shared" si="145"/>
        <v>0</v>
      </c>
      <c r="T172">
        <f t="shared" si="146"/>
        <v>0</v>
      </c>
      <c r="U172">
        <f t="shared" si="147"/>
        <v>0</v>
      </c>
      <c r="V172">
        <f t="shared" si="148"/>
        <v>0</v>
      </c>
      <c r="W172">
        <f t="shared" si="149"/>
        <v>0</v>
      </c>
      <c r="X172">
        <f>(ROUND((((S172+ROUND((ROUND(((EU172)*AV172*I172),2)*BS172),2))*AT172)/100),2)+ROUND(((ROUND((ROUND(((AE172-(EU172))*AV172*I172),2)*BS172),2)*AT172)/100),2))</f>
        <v>0</v>
      </c>
      <c r="Y172">
        <f>(ROUND((((S172+ROUND((ROUND(((EU172)*AV172*I172),2)*BS172),2))*AU172)/100),2)+ROUND(((ROUND((ROUND(((AE172-(EU172))*AV172*I172),2)*BS172),2)*AU172)/100),2))</f>
        <v>0</v>
      </c>
      <c r="AA172">
        <v>76282491</v>
      </c>
      <c r="AB172">
        <f t="shared" si="150"/>
        <v>0</v>
      </c>
      <c r="AC172">
        <f>ROUND((ES172),6)</f>
        <v>0</v>
      </c>
      <c r="AD172">
        <f>ROUND((((ET172)-(EU172))+AE172),6)</f>
        <v>0</v>
      </c>
      <c r="AE172">
        <f t="shared" si="172"/>
        <v>0</v>
      </c>
      <c r="AF172">
        <f t="shared" si="172"/>
        <v>0</v>
      </c>
      <c r="AG172">
        <f t="shared" si="151"/>
        <v>0</v>
      </c>
      <c r="AH172">
        <f t="shared" si="173"/>
        <v>0</v>
      </c>
      <c r="AI172">
        <f t="shared" si="173"/>
        <v>0</v>
      </c>
      <c r="AJ172">
        <f t="shared" si="152"/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97</v>
      </c>
      <c r="AU172">
        <v>51</v>
      </c>
      <c r="AV172">
        <v>1</v>
      </c>
      <c r="AW172">
        <v>1</v>
      </c>
      <c r="AZ172">
        <v>1</v>
      </c>
      <c r="BA172">
        <v>1</v>
      </c>
      <c r="BB172">
        <v>1</v>
      </c>
      <c r="BC172">
        <v>1</v>
      </c>
      <c r="BD172" t="s">
        <v>3</v>
      </c>
      <c r="BE172" t="s">
        <v>3</v>
      </c>
      <c r="BF172" t="s">
        <v>3</v>
      </c>
      <c r="BG172" t="s">
        <v>3</v>
      </c>
      <c r="BH172">
        <v>3</v>
      </c>
      <c r="BI172">
        <v>2</v>
      </c>
      <c r="BJ172" t="s">
        <v>3</v>
      </c>
      <c r="BM172">
        <v>67</v>
      </c>
      <c r="BN172">
        <v>0</v>
      </c>
      <c r="BO172" t="s">
        <v>3</v>
      </c>
      <c r="BP172">
        <v>0</v>
      </c>
      <c r="BQ172">
        <v>40</v>
      </c>
      <c r="BR172">
        <v>0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 t="s">
        <v>3</v>
      </c>
      <c r="BZ172">
        <v>97</v>
      </c>
      <c r="CA172">
        <v>51</v>
      </c>
      <c r="CB172" t="s">
        <v>3</v>
      </c>
      <c r="CE172">
        <v>1566</v>
      </c>
      <c r="CF172">
        <v>0</v>
      </c>
      <c r="CG172">
        <v>0</v>
      </c>
      <c r="CM172">
        <v>0</v>
      </c>
      <c r="CN172" t="s">
        <v>456</v>
      </c>
      <c r="CO172">
        <v>0</v>
      </c>
      <c r="CP172">
        <f t="shared" si="153"/>
        <v>0</v>
      </c>
      <c r="CQ172">
        <f t="shared" si="154"/>
        <v>0</v>
      </c>
      <c r="CR172">
        <f>(ROUND((ROUND(((ET172)*AV172*1),2)*BB172),2)+ROUND((ROUND(((AE172-(EU172))*AV172*1),2)*BS172),2))</f>
        <v>0</v>
      </c>
      <c r="CS172">
        <f>(ROUND((ROUND(((EU172)*AV172*1),2)*BS172),2)+ROUND((ROUND(((AE172-(EU172))*AV172*1),2)*BS172),2))</f>
        <v>0</v>
      </c>
      <c r="CT172">
        <f t="shared" si="155"/>
        <v>0</v>
      </c>
      <c r="CU172">
        <f t="shared" si="156"/>
        <v>0</v>
      </c>
      <c r="CV172">
        <f t="shared" si="157"/>
        <v>0</v>
      </c>
      <c r="CW172">
        <f t="shared" si="158"/>
        <v>0</v>
      </c>
      <c r="CX172">
        <f t="shared" si="159"/>
        <v>0</v>
      </c>
      <c r="CY172">
        <f>(ROUND((((S172+ROUND((ROUND(((EU172)*AV172*1),2)*BS172),2))*AT172)/100),2)+ROUND(((ROUND((ROUND(((AE172-(EU172))*AV172*1),2)*BS172),2)*AT172)/100),2))</f>
        <v>0</v>
      </c>
      <c r="CZ172">
        <f>(ROUND((((S172+ROUND((ROUND(((EU172)*AV172*1),2)*BS172),2))*AU172)/100),2)+ROUND(((ROUND((ROUND(((AE172-(EU172))*AV172*1),2)*BS172),2)*AU172)/100),2))</f>
        <v>0</v>
      </c>
      <c r="DC172" t="s">
        <v>3</v>
      </c>
      <c r="DD172" t="s">
        <v>3</v>
      </c>
      <c r="DE172" t="s">
        <v>3</v>
      </c>
      <c r="DF172" t="s">
        <v>3</v>
      </c>
      <c r="DG172" t="s">
        <v>3</v>
      </c>
      <c r="DH172" t="s">
        <v>3</v>
      </c>
      <c r="DI172" t="s">
        <v>3</v>
      </c>
      <c r="DJ172" t="s">
        <v>3</v>
      </c>
      <c r="DK172" t="s">
        <v>3</v>
      </c>
      <c r="DL172" t="s">
        <v>3</v>
      </c>
      <c r="DM172" t="s">
        <v>3</v>
      </c>
      <c r="DN172">
        <v>0</v>
      </c>
      <c r="DO172">
        <v>0</v>
      </c>
      <c r="DP172">
        <v>1</v>
      </c>
      <c r="DQ172">
        <v>1</v>
      </c>
      <c r="DU172">
        <v>1009</v>
      </c>
      <c r="DV172" t="s">
        <v>27</v>
      </c>
      <c r="DW172" t="s">
        <v>27</v>
      </c>
      <c r="DX172">
        <v>1</v>
      </c>
      <c r="DZ172" t="s">
        <v>3</v>
      </c>
      <c r="EA172" t="s">
        <v>3</v>
      </c>
      <c r="EB172" t="s">
        <v>3</v>
      </c>
      <c r="EC172" t="s">
        <v>3</v>
      </c>
      <c r="EE172">
        <v>76282301</v>
      </c>
      <c r="EF172">
        <v>40</v>
      </c>
      <c r="EG172" t="s">
        <v>20</v>
      </c>
      <c r="EH172">
        <v>0</v>
      </c>
      <c r="EI172" t="s">
        <v>3</v>
      </c>
      <c r="EJ172">
        <v>2</v>
      </c>
      <c r="EK172">
        <v>67</v>
      </c>
      <c r="EL172" t="s">
        <v>21</v>
      </c>
      <c r="EM172" t="s">
        <v>22</v>
      </c>
      <c r="EO172" t="s">
        <v>287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FQ172">
        <v>0</v>
      </c>
      <c r="FR172">
        <v>0</v>
      </c>
      <c r="FS172">
        <v>0</v>
      </c>
      <c r="FX172">
        <v>97</v>
      </c>
      <c r="FY172">
        <v>51</v>
      </c>
      <c r="GA172" t="s">
        <v>3</v>
      </c>
      <c r="GD172">
        <v>1</v>
      </c>
      <c r="GF172">
        <v>-95783294</v>
      </c>
      <c r="GG172">
        <v>2</v>
      </c>
      <c r="GH172">
        <v>0</v>
      </c>
      <c r="GI172">
        <v>-2</v>
      </c>
      <c r="GJ172">
        <v>0</v>
      </c>
      <c r="GK172">
        <v>0</v>
      </c>
      <c r="GL172">
        <f t="shared" si="160"/>
        <v>0</v>
      </c>
      <c r="GM172">
        <f t="shared" si="161"/>
        <v>0</v>
      </c>
      <c r="GN172">
        <f t="shared" si="162"/>
        <v>0</v>
      </c>
      <c r="GO172">
        <f t="shared" si="163"/>
        <v>0</v>
      </c>
      <c r="GP172">
        <f t="shared" si="164"/>
        <v>0</v>
      </c>
      <c r="GR172">
        <v>0</v>
      </c>
      <c r="GS172">
        <v>0</v>
      </c>
      <c r="GT172">
        <v>0</v>
      </c>
      <c r="GU172" t="s">
        <v>3</v>
      </c>
      <c r="GV172">
        <f t="shared" si="165"/>
        <v>0</v>
      </c>
      <c r="GW172">
        <v>1</v>
      </c>
      <c r="GX172">
        <f t="shared" si="166"/>
        <v>0</v>
      </c>
      <c r="HA172">
        <v>0</v>
      </c>
      <c r="HB172">
        <v>0</v>
      </c>
      <c r="HC172">
        <f t="shared" si="167"/>
        <v>0</v>
      </c>
      <c r="HE172" t="s">
        <v>3</v>
      </c>
      <c r="HF172" t="s">
        <v>3</v>
      </c>
      <c r="HM172" t="s">
        <v>280</v>
      </c>
      <c r="HN172" t="s">
        <v>3</v>
      </c>
      <c r="HO172" t="s">
        <v>3</v>
      </c>
      <c r="HP172" t="s">
        <v>3</v>
      </c>
      <c r="HQ172" t="s">
        <v>3</v>
      </c>
      <c r="HS172">
        <v>0</v>
      </c>
      <c r="IK172">
        <v>0</v>
      </c>
    </row>
    <row r="173" spans="1:245">
      <c r="A173">
        <v>17</v>
      </c>
      <c r="B173">
        <v>1</v>
      </c>
      <c r="E173" t="s">
        <v>311</v>
      </c>
      <c r="F173" t="s">
        <v>312</v>
      </c>
      <c r="G173" t="s">
        <v>313</v>
      </c>
      <c r="H173" t="s">
        <v>32</v>
      </c>
      <c r="I173">
        <v>4</v>
      </c>
      <c r="J173">
        <v>0</v>
      </c>
      <c r="K173">
        <v>4</v>
      </c>
      <c r="O173">
        <f t="shared" si="143"/>
        <v>2245.34</v>
      </c>
      <c r="P173">
        <f t="shared" si="144"/>
        <v>2245.34</v>
      </c>
      <c r="Q173">
        <f>(ROUND((ROUND(((ET173)*AV173*I173),2)*BB173),2)+ROUND((ROUND(((AE173-(EU173))*AV173*I173),2)*BS173),2))</f>
        <v>0</v>
      </c>
      <c r="R173">
        <f>(ROUND((ROUND(((EU173)*AV173*I173),2)*BS173),2)+ROUND((ROUND(((AE173-(EU173))*AV173*I173),2)*BS173),2))</f>
        <v>0</v>
      </c>
      <c r="S173">
        <f t="shared" si="145"/>
        <v>0</v>
      </c>
      <c r="T173">
        <f t="shared" si="146"/>
        <v>0</v>
      </c>
      <c r="U173">
        <f t="shared" si="147"/>
        <v>0</v>
      </c>
      <c r="V173">
        <f t="shared" si="148"/>
        <v>0</v>
      </c>
      <c r="W173">
        <f t="shared" si="149"/>
        <v>0</v>
      </c>
      <c r="X173">
        <f>(ROUND((((S173+ROUND((ROUND(((EU173)*AV173*I173),2)*BS173),2))*AT173)/100),2)+ROUND(((ROUND((ROUND(((AE173-(EU173))*AV173*I173),2)*BS173),2)*AT173)/100),2))</f>
        <v>0</v>
      </c>
      <c r="Y173">
        <f>(ROUND((((S173+ROUND((ROUND(((EU173)*AV173*I173),2)*BS173),2))*AU173)/100),2)+ROUND(((ROUND((ROUND(((AE173-(EU173))*AV173*I173),2)*BS173),2)*AU173)/100),2))</f>
        <v>0</v>
      </c>
      <c r="AA173">
        <v>76282491</v>
      </c>
      <c r="AB173">
        <f t="shared" si="150"/>
        <v>153.37</v>
      </c>
      <c r="AC173">
        <f>ROUND((ES173),6)</f>
        <v>153.37</v>
      </c>
      <c r="AD173">
        <f>ROUND((((ET173)-(EU173))+AE173),6)</f>
        <v>0</v>
      </c>
      <c r="AE173">
        <f t="shared" si="172"/>
        <v>0</v>
      </c>
      <c r="AF173">
        <f t="shared" si="172"/>
        <v>0</v>
      </c>
      <c r="AG173">
        <f t="shared" si="151"/>
        <v>0</v>
      </c>
      <c r="AH173">
        <f t="shared" si="173"/>
        <v>0</v>
      </c>
      <c r="AI173">
        <f t="shared" si="173"/>
        <v>0</v>
      </c>
      <c r="AJ173">
        <f t="shared" si="152"/>
        <v>0</v>
      </c>
      <c r="AK173">
        <v>153.37</v>
      </c>
      <c r="AL173">
        <v>153.37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1</v>
      </c>
      <c r="AW173">
        <v>1</v>
      </c>
      <c r="AZ173">
        <v>1</v>
      </c>
      <c r="BA173">
        <v>1</v>
      </c>
      <c r="BB173">
        <v>1</v>
      </c>
      <c r="BC173">
        <v>3.66</v>
      </c>
      <c r="BD173" t="s">
        <v>3</v>
      </c>
      <c r="BE173" t="s">
        <v>3</v>
      </c>
      <c r="BF173" t="s">
        <v>3</v>
      </c>
      <c r="BG173" t="s">
        <v>3</v>
      </c>
      <c r="BH173">
        <v>3</v>
      </c>
      <c r="BI173">
        <v>2</v>
      </c>
      <c r="BJ173" t="s">
        <v>314</v>
      </c>
      <c r="BM173">
        <v>1618</v>
      </c>
      <c r="BN173">
        <v>0</v>
      </c>
      <c r="BO173" t="s">
        <v>312</v>
      </c>
      <c r="BP173">
        <v>1</v>
      </c>
      <c r="BQ173">
        <v>201</v>
      </c>
      <c r="BR173">
        <v>0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 t="s">
        <v>3</v>
      </c>
      <c r="BZ173">
        <v>0</v>
      </c>
      <c r="CA173">
        <v>0</v>
      </c>
      <c r="CB173" t="s">
        <v>3</v>
      </c>
      <c r="CE173">
        <v>1566</v>
      </c>
      <c r="CF173">
        <v>0</v>
      </c>
      <c r="CG173">
        <v>0</v>
      </c>
      <c r="CM173">
        <v>0</v>
      </c>
      <c r="CN173" t="s">
        <v>3</v>
      </c>
      <c r="CO173">
        <v>0</v>
      </c>
      <c r="CP173">
        <f t="shared" si="153"/>
        <v>2245.34</v>
      </c>
      <c r="CQ173">
        <f t="shared" si="154"/>
        <v>561.33000000000004</v>
      </c>
      <c r="CR173">
        <f>(ROUND((ROUND(((ET173)*AV173*1),2)*BB173),2)+ROUND((ROUND(((AE173-(EU173))*AV173*1),2)*BS173),2))</f>
        <v>0</v>
      </c>
      <c r="CS173">
        <f>(ROUND((ROUND(((EU173)*AV173*1),2)*BS173),2)+ROUND((ROUND(((AE173-(EU173))*AV173*1),2)*BS173),2))</f>
        <v>0</v>
      </c>
      <c r="CT173">
        <f t="shared" si="155"/>
        <v>0</v>
      </c>
      <c r="CU173">
        <f t="shared" si="156"/>
        <v>0</v>
      </c>
      <c r="CV173">
        <f t="shared" si="157"/>
        <v>0</v>
      </c>
      <c r="CW173">
        <f t="shared" si="158"/>
        <v>0</v>
      </c>
      <c r="CX173">
        <f t="shared" si="159"/>
        <v>0</v>
      </c>
      <c r="CY173">
        <f>(ROUND((((S173+ROUND((ROUND(((EU173)*AV173*1),2)*BS173),2))*AT173)/100),2)+ROUND(((ROUND((ROUND(((AE173-(EU173))*AV173*1),2)*BS173),2)*AT173)/100),2))</f>
        <v>0</v>
      </c>
      <c r="CZ173">
        <f>(ROUND((((S173+ROUND((ROUND(((EU173)*AV173*1),2)*BS173),2))*AU173)/100),2)+ROUND(((ROUND((ROUND(((AE173-(EU173))*AV173*1),2)*BS173),2)*AU173)/100),2))</f>
        <v>0</v>
      </c>
      <c r="DC173" t="s">
        <v>3</v>
      </c>
      <c r="DD173" t="s">
        <v>3</v>
      </c>
      <c r="DE173" t="s">
        <v>3</v>
      </c>
      <c r="DF173" t="s">
        <v>3</v>
      </c>
      <c r="DG173" t="s">
        <v>3</v>
      </c>
      <c r="DH173" t="s">
        <v>3</v>
      </c>
      <c r="DI173" t="s">
        <v>3</v>
      </c>
      <c r="DJ173" t="s">
        <v>3</v>
      </c>
      <c r="DK173" t="s">
        <v>3</v>
      </c>
      <c r="DL173" t="s">
        <v>3</v>
      </c>
      <c r="DM173" t="s">
        <v>3</v>
      </c>
      <c r="DN173">
        <v>0</v>
      </c>
      <c r="DO173">
        <v>0</v>
      </c>
      <c r="DP173">
        <v>1</v>
      </c>
      <c r="DQ173">
        <v>1</v>
      </c>
      <c r="DU173">
        <v>1010</v>
      </c>
      <c r="DV173" t="s">
        <v>32</v>
      </c>
      <c r="DW173" t="s">
        <v>32</v>
      </c>
      <c r="DX173">
        <v>1</v>
      </c>
      <c r="DZ173" t="s">
        <v>3</v>
      </c>
      <c r="EA173" t="s">
        <v>3</v>
      </c>
      <c r="EB173" t="s">
        <v>3</v>
      </c>
      <c r="EC173" t="s">
        <v>3</v>
      </c>
      <c r="EE173">
        <v>76282429</v>
      </c>
      <c r="EF173">
        <v>201</v>
      </c>
      <c r="EG173" t="s">
        <v>294</v>
      </c>
      <c r="EH173">
        <v>0</v>
      </c>
      <c r="EI173" t="s">
        <v>3</v>
      </c>
      <c r="EJ173">
        <v>2</v>
      </c>
      <c r="EK173">
        <v>1618</v>
      </c>
      <c r="EL173" t="s">
        <v>295</v>
      </c>
      <c r="EM173" t="s">
        <v>296</v>
      </c>
      <c r="EO173" t="s">
        <v>3</v>
      </c>
      <c r="EQ173">
        <v>131072</v>
      </c>
      <c r="ER173">
        <v>153.37</v>
      </c>
      <c r="ES173">
        <v>153.37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FQ173">
        <v>0</v>
      </c>
      <c r="FR173">
        <v>0</v>
      </c>
      <c r="FS173">
        <v>0</v>
      </c>
      <c r="FX173">
        <v>0</v>
      </c>
      <c r="FY173">
        <v>0</v>
      </c>
      <c r="GA173" t="s">
        <v>3</v>
      </c>
      <c r="GD173">
        <v>1</v>
      </c>
      <c r="GF173">
        <v>-457457168</v>
      </c>
      <c r="GG173">
        <v>2</v>
      </c>
      <c r="GH173">
        <v>0</v>
      </c>
      <c r="GI173">
        <v>2</v>
      </c>
      <c r="GJ173">
        <v>0</v>
      </c>
      <c r="GK173">
        <v>0</v>
      </c>
      <c r="GL173">
        <f t="shared" si="160"/>
        <v>0</v>
      </c>
      <c r="GM173">
        <f t="shared" si="161"/>
        <v>2245.34</v>
      </c>
      <c r="GN173">
        <f t="shared" si="162"/>
        <v>0</v>
      </c>
      <c r="GO173">
        <f t="shared" si="163"/>
        <v>2245.34</v>
      </c>
      <c r="GP173">
        <f t="shared" si="164"/>
        <v>0</v>
      </c>
      <c r="GR173">
        <v>0</v>
      </c>
      <c r="GS173">
        <v>0</v>
      </c>
      <c r="GT173">
        <v>0</v>
      </c>
      <c r="GU173" t="s">
        <v>3</v>
      </c>
      <c r="GV173">
        <f t="shared" si="165"/>
        <v>0</v>
      </c>
      <c r="GW173">
        <v>1</v>
      </c>
      <c r="GX173">
        <f t="shared" si="166"/>
        <v>0</v>
      </c>
      <c r="HA173">
        <v>0</v>
      </c>
      <c r="HB173">
        <v>0</v>
      </c>
      <c r="HC173">
        <f t="shared" si="167"/>
        <v>0</v>
      </c>
      <c r="HE173" t="s">
        <v>3</v>
      </c>
      <c r="HF173" t="s">
        <v>3</v>
      </c>
      <c r="HM173" t="s">
        <v>3</v>
      </c>
      <c r="HN173" t="s">
        <v>3</v>
      </c>
      <c r="HO173" t="s">
        <v>3</v>
      </c>
      <c r="HP173" t="s">
        <v>3</v>
      </c>
      <c r="HQ173" t="s">
        <v>3</v>
      </c>
      <c r="HS173">
        <v>0</v>
      </c>
      <c r="IK173">
        <v>0</v>
      </c>
    </row>
    <row r="174" spans="1:245">
      <c r="A174">
        <v>17</v>
      </c>
      <c r="B174">
        <v>1</v>
      </c>
      <c r="E174" t="s">
        <v>315</v>
      </c>
      <c r="F174" t="s">
        <v>316</v>
      </c>
      <c r="G174" t="s">
        <v>317</v>
      </c>
      <c r="H174" t="s">
        <v>318</v>
      </c>
      <c r="I174">
        <f>ROUND(0.46*8/1000,9)</f>
        <v>3.6800000000000001E-3</v>
      </c>
      <c r="J174">
        <v>0</v>
      </c>
      <c r="K174">
        <f>ROUND(0.46*8/1000,9)</f>
        <v>3.6800000000000001E-3</v>
      </c>
      <c r="O174">
        <f t="shared" si="143"/>
        <v>351.68</v>
      </c>
      <c r="P174">
        <f t="shared" si="144"/>
        <v>10.220000000000001</v>
      </c>
      <c r="Q174">
        <f>(ROUND((ROUND((((ET174*1.2))*AV174*I174),2)*BB174),2)+ROUND((ROUND(((AE174-((EU174*1.2)))*AV174*I174),2)*BS174),2))</f>
        <v>5.3</v>
      </c>
      <c r="R174">
        <f>(ROUND((ROUND((((EU174*1.2))*AV174*I174),2)*BS174),2)+ROUND((ROUND(((AE174-((EU174*1.2)))*AV174*I174),2)*BS174),2))</f>
        <v>1.1599999999999999</v>
      </c>
      <c r="S174">
        <f t="shared" si="145"/>
        <v>336.16</v>
      </c>
      <c r="T174">
        <f t="shared" si="146"/>
        <v>0</v>
      </c>
      <c r="U174">
        <f t="shared" si="147"/>
        <v>0.44115840000000001</v>
      </c>
      <c r="V174">
        <f t="shared" si="148"/>
        <v>0</v>
      </c>
      <c r="W174">
        <f t="shared" si="149"/>
        <v>0</v>
      </c>
      <c r="X174">
        <f>(ROUND((((S174+ROUND((ROUND((((EU174*1.2))*AV174*I174),2)*BS174),2))*AT174)/100),2)+ROUND(((ROUND((ROUND(((AE174-((EU174*1.2)))*AV174*I174),2)*BS174),2)*AT174)/100),2))</f>
        <v>283.35000000000002</v>
      </c>
      <c r="Y174">
        <f>(ROUND((((S174+ROUND((ROUND((((EU174*1.2))*AV174*I174),2)*BS174),2))*AU174)/100),2)+ROUND(((ROUND((ROUND(((AE174-((EU174*1.2)))*AV174*I174),2)*BS174),2)*AU174)/100),2))</f>
        <v>178.78</v>
      </c>
      <c r="AA174">
        <v>76282491</v>
      </c>
      <c r="AB174">
        <f t="shared" si="150"/>
        <v>2132.7840000000001</v>
      </c>
      <c r="AC174">
        <f>ROUND(((ES174*1)),6)</f>
        <v>436.68</v>
      </c>
      <c r="AD174">
        <f>ROUND(((((ET174*1.2))-((EU174*1.2)))+AE174),6)</f>
        <v>113.688</v>
      </c>
      <c r="AE174">
        <f>ROUND(((EU174*1.2)),6)</f>
        <v>5.3159999999999998</v>
      </c>
      <c r="AF174">
        <f>ROUND(((EV174*1.2)),6)</f>
        <v>1582.4159999999999</v>
      </c>
      <c r="AG174">
        <f t="shared" si="151"/>
        <v>0</v>
      </c>
      <c r="AH174">
        <f>((EW174*1.2))</f>
        <v>119.88</v>
      </c>
      <c r="AI174">
        <f>((EX174*1.2))</f>
        <v>0</v>
      </c>
      <c r="AJ174">
        <f t="shared" si="152"/>
        <v>0</v>
      </c>
      <c r="AK174">
        <v>1850.1</v>
      </c>
      <c r="AL174">
        <v>436.68</v>
      </c>
      <c r="AM174">
        <v>94.74</v>
      </c>
      <c r="AN174">
        <v>4.43</v>
      </c>
      <c r="AO174">
        <v>1318.68</v>
      </c>
      <c r="AP174">
        <v>0</v>
      </c>
      <c r="AQ174">
        <v>99.9</v>
      </c>
      <c r="AR174">
        <v>0</v>
      </c>
      <c r="AS174">
        <v>0</v>
      </c>
      <c r="AT174">
        <v>84</v>
      </c>
      <c r="AU174">
        <v>53</v>
      </c>
      <c r="AV174">
        <v>1</v>
      </c>
      <c r="AW174">
        <v>1</v>
      </c>
      <c r="AZ174">
        <v>1</v>
      </c>
      <c r="BA174">
        <v>57.76</v>
      </c>
      <c r="BB174">
        <v>12.62</v>
      </c>
      <c r="BC174">
        <v>6.35</v>
      </c>
      <c r="BD174" t="s">
        <v>3</v>
      </c>
      <c r="BE174" t="s">
        <v>3</v>
      </c>
      <c r="BF174" t="s">
        <v>3</v>
      </c>
      <c r="BG174" t="s">
        <v>3</v>
      </c>
      <c r="BH174">
        <v>0</v>
      </c>
      <c r="BI174">
        <v>1</v>
      </c>
      <c r="BJ174" t="s">
        <v>319</v>
      </c>
      <c r="BM174">
        <v>13</v>
      </c>
      <c r="BN174">
        <v>0</v>
      </c>
      <c r="BO174" t="s">
        <v>316</v>
      </c>
      <c r="BP174">
        <v>1</v>
      </c>
      <c r="BQ174">
        <v>30</v>
      </c>
      <c r="BR174">
        <v>0</v>
      </c>
      <c r="BS174">
        <v>57.76</v>
      </c>
      <c r="BT174">
        <v>1</v>
      </c>
      <c r="BU174">
        <v>1</v>
      </c>
      <c r="BV174">
        <v>1</v>
      </c>
      <c r="BW174">
        <v>1</v>
      </c>
      <c r="BX174">
        <v>1</v>
      </c>
      <c r="BY174" t="s">
        <v>3</v>
      </c>
      <c r="BZ174">
        <v>84</v>
      </c>
      <c r="CA174">
        <v>53</v>
      </c>
      <c r="CB174" t="s">
        <v>3</v>
      </c>
      <c r="CE174">
        <v>1566</v>
      </c>
      <c r="CF174">
        <v>0</v>
      </c>
      <c r="CG174">
        <v>0</v>
      </c>
      <c r="CM174">
        <v>0</v>
      </c>
      <c r="CN174" t="s">
        <v>454</v>
      </c>
      <c r="CO174">
        <v>0</v>
      </c>
      <c r="CP174">
        <f t="shared" si="153"/>
        <v>351.68</v>
      </c>
      <c r="CQ174">
        <f t="shared" si="154"/>
        <v>2772.92</v>
      </c>
      <c r="CR174">
        <f>(ROUND((ROUND((((ET174*1.2))*AV174*1),2)*BB174),2)+ROUND((ROUND(((AE174-((EU174*1.2)))*AV174*1),2)*BS174),2))</f>
        <v>1434.77</v>
      </c>
      <c r="CS174">
        <f>(ROUND((ROUND((((EU174*1.2))*AV174*1),2)*BS174),2)+ROUND((ROUND(((AE174-((EU174*1.2)))*AV174*1),2)*BS174),2))</f>
        <v>307.27999999999997</v>
      </c>
      <c r="CT174">
        <f t="shared" si="155"/>
        <v>91400.58</v>
      </c>
      <c r="CU174">
        <f t="shared" si="156"/>
        <v>0</v>
      </c>
      <c r="CV174">
        <f t="shared" si="157"/>
        <v>119.88</v>
      </c>
      <c r="CW174">
        <f t="shared" si="158"/>
        <v>0</v>
      </c>
      <c r="CX174">
        <f t="shared" si="159"/>
        <v>0</v>
      </c>
      <c r="CY174">
        <f>(ROUND((((S174+ROUND((ROUND((((EU174*1.2))*AV174*1),2)*BS174),2))*AT174)/100),2)+ROUND(((ROUND((ROUND(((AE174-((EU174*1.2)))*AV174*1),2)*BS174),2)*AT174)/100),2))</f>
        <v>540.49</v>
      </c>
      <c r="CZ174">
        <f>(ROUND((((S174+ROUND((ROUND((((EU174*1.2))*AV174*1),2)*BS174),2))*AU174)/100),2)+ROUND(((ROUND((ROUND(((AE174-((EU174*1.2)))*AV174*1),2)*BS174),2)*AU174)/100),2))</f>
        <v>341.02</v>
      </c>
      <c r="DB174">
        <v>18</v>
      </c>
      <c r="DC174" t="s">
        <v>3</v>
      </c>
      <c r="DD174" t="s">
        <v>60</v>
      </c>
      <c r="DE174" t="s">
        <v>61</v>
      </c>
      <c r="DF174" t="s">
        <v>61</v>
      </c>
      <c r="DG174" t="s">
        <v>61</v>
      </c>
      <c r="DH174" t="s">
        <v>3</v>
      </c>
      <c r="DI174" t="s">
        <v>61</v>
      </c>
      <c r="DJ174" t="s">
        <v>61</v>
      </c>
      <c r="DK174" t="s">
        <v>3</v>
      </c>
      <c r="DL174" t="s">
        <v>3</v>
      </c>
      <c r="DM174" t="s">
        <v>3</v>
      </c>
      <c r="DN174">
        <v>0</v>
      </c>
      <c r="DO174">
        <v>0</v>
      </c>
      <c r="DP174">
        <v>1</v>
      </c>
      <c r="DQ174">
        <v>1</v>
      </c>
      <c r="DU174">
        <v>1013</v>
      </c>
      <c r="DV174" t="s">
        <v>318</v>
      </c>
      <c r="DW174" t="s">
        <v>318</v>
      </c>
      <c r="DX174">
        <v>1</v>
      </c>
      <c r="DZ174" t="s">
        <v>3</v>
      </c>
      <c r="EA174" t="s">
        <v>3</v>
      </c>
      <c r="EB174" t="s">
        <v>3</v>
      </c>
      <c r="EC174" t="s">
        <v>3</v>
      </c>
      <c r="EE174">
        <v>76282245</v>
      </c>
      <c r="EF174">
        <v>30</v>
      </c>
      <c r="EG174" t="s">
        <v>253</v>
      </c>
      <c r="EH174">
        <v>0</v>
      </c>
      <c r="EI174" t="s">
        <v>3</v>
      </c>
      <c r="EJ174">
        <v>1</v>
      </c>
      <c r="EK174">
        <v>13</v>
      </c>
      <c r="EL174" t="s">
        <v>320</v>
      </c>
      <c r="EM174" t="s">
        <v>321</v>
      </c>
      <c r="EO174" t="s">
        <v>62</v>
      </c>
      <c r="EQ174">
        <v>131072</v>
      </c>
      <c r="ER174">
        <v>1850.1</v>
      </c>
      <c r="ES174">
        <v>436.68</v>
      </c>
      <c r="ET174">
        <v>94.74</v>
      </c>
      <c r="EU174">
        <v>4.43</v>
      </c>
      <c r="EV174">
        <v>1318.68</v>
      </c>
      <c r="EW174">
        <v>99.9</v>
      </c>
      <c r="EX174">
        <v>0</v>
      </c>
      <c r="EY174">
        <v>0</v>
      </c>
      <c r="FQ174">
        <v>0</v>
      </c>
      <c r="FR174">
        <v>0</v>
      </c>
      <c r="FS174">
        <v>0</v>
      </c>
      <c r="FX174">
        <v>84</v>
      </c>
      <c r="FY174">
        <v>53</v>
      </c>
      <c r="GA174" t="s">
        <v>3</v>
      </c>
      <c r="GD174">
        <v>1</v>
      </c>
      <c r="GF174">
        <v>1316721945</v>
      </c>
      <c r="GG174">
        <v>2</v>
      </c>
      <c r="GH174">
        <v>0</v>
      </c>
      <c r="GI174">
        <v>2</v>
      </c>
      <c r="GJ174">
        <v>0</v>
      </c>
      <c r="GK174">
        <v>0</v>
      </c>
      <c r="GL174">
        <f t="shared" si="160"/>
        <v>0</v>
      </c>
      <c r="GM174">
        <f t="shared" si="161"/>
        <v>813.81</v>
      </c>
      <c r="GN174">
        <f t="shared" si="162"/>
        <v>813.81</v>
      </c>
      <c r="GO174">
        <f t="shared" si="163"/>
        <v>0</v>
      </c>
      <c r="GP174">
        <f t="shared" si="164"/>
        <v>0</v>
      </c>
      <c r="GR174">
        <v>0</v>
      </c>
      <c r="GS174">
        <v>7</v>
      </c>
      <c r="GT174">
        <v>0</v>
      </c>
      <c r="GU174" t="s">
        <v>3</v>
      </c>
      <c r="GV174">
        <f t="shared" si="165"/>
        <v>0</v>
      </c>
      <c r="GW174">
        <v>1</v>
      </c>
      <c r="GX174">
        <f t="shared" si="166"/>
        <v>0</v>
      </c>
      <c r="HA174">
        <v>0</v>
      </c>
      <c r="HB174">
        <v>0</v>
      </c>
      <c r="HC174">
        <f t="shared" si="167"/>
        <v>0</v>
      </c>
      <c r="HE174" t="s">
        <v>3</v>
      </c>
      <c r="HF174" t="s">
        <v>3</v>
      </c>
      <c r="HM174" t="s">
        <v>3</v>
      </c>
      <c r="HN174" t="s">
        <v>3</v>
      </c>
      <c r="HO174" t="s">
        <v>3</v>
      </c>
      <c r="HP174" t="s">
        <v>3</v>
      </c>
      <c r="HQ174" t="s">
        <v>3</v>
      </c>
      <c r="HS174">
        <v>0</v>
      </c>
      <c r="IK174">
        <v>0</v>
      </c>
    </row>
    <row r="175" spans="1:245">
      <c r="A175">
        <v>18</v>
      </c>
      <c r="B175">
        <v>1</v>
      </c>
      <c r="E175" t="s">
        <v>322</v>
      </c>
      <c r="F175" t="s">
        <v>323</v>
      </c>
      <c r="G175" t="s">
        <v>324</v>
      </c>
      <c r="H175" t="s">
        <v>39</v>
      </c>
      <c r="I175">
        <f>I174*J175</f>
        <v>3.6800000000000001E-3</v>
      </c>
      <c r="J175">
        <v>1</v>
      </c>
      <c r="K175">
        <v>1</v>
      </c>
      <c r="O175">
        <f t="shared" si="143"/>
        <v>0</v>
      </c>
      <c r="P175">
        <f t="shared" si="144"/>
        <v>0</v>
      </c>
      <c r="Q175">
        <f>(ROUND((ROUND(((ET175)*AV175*I175),2)*BB175),2)+ROUND((ROUND(((AE175-(EU175))*AV175*I175),2)*BS175),2))</f>
        <v>0</v>
      </c>
      <c r="R175">
        <f>(ROUND((ROUND(((EU175)*AV175*I175),2)*BS175),2)+ROUND((ROUND(((AE175-(EU175))*AV175*I175),2)*BS175),2))</f>
        <v>0</v>
      </c>
      <c r="S175">
        <f t="shared" si="145"/>
        <v>0</v>
      </c>
      <c r="T175">
        <f t="shared" si="146"/>
        <v>0</v>
      </c>
      <c r="U175">
        <f t="shared" si="147"/>
        <v>0</v>
      </c>
      <c r="V175">
        <f t="shared" si="148"/>
        <v>0</v>
      </c>
      <c r="W175">
        <f t="shared" si="149"/>
        <v>0</v>
      </c>
      <c r="X175">
        <f>(ROUND((((S175+ROUND((ROUND(((EU175)*AV175*I175),2)*BS175),2))*AT175)/100),2)+ROUND(((ROUND((ROUND(((AE175-(EU175))*AV175*I175),2)*BS175),2)*AT175)/100),2))</f>
        <v>0</v>
      </c>
      <c r="Y175">
        <f>(ROUND((((S175+ROUND((ROUND(((EU175)*AV175*I175),2)*BS175),2))*AU175)/100),2)+ROUND(((ROUND((ROUND(((AE175-(EU175))*AV175*I175),2)*BS175),2)*AU175)/100),2))</f>
        <v>0</v>
      </c>
      <c r="AA175">
        <v>76282491</v>
      </c>
      <c r="AB175">
        <f t="shared" si="150"/>
        <v>0</v>
      </c>
      <c r="AC175">
        <f>ROUND((ES175),6)</f>
        <v>0</v>
      </c>
      <c r="AD175">
        <f>ROUND((((ET175)-(EU175))+AE175),6)</f>
        <v>0</v>
      </c>
      <c r="AE175">
        <f>ROUND((EU175),6)</f>
        <v>0</v>
      </c>
      <c r="AF175">
        <f>ROUND((EV175),6)</f>
        <v>0</v>
      </c>
      <c r="AG175">
        <f t="shared" si="151"/>
        <v>0</v>
      </c>
      <c r="AH175">
        <f>(EW175)</f>
        <v>0</v>
      </c>
      <c r="AI175">
        <f>(EX175)</f>
        <v>0</v>
      </c>
      <c r="AJ175">
        <f t="shared" si="152"/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84</v>
      </c>
      <c r="AU175">
        <v>53</v>
      </c>
      <c r="AV175">
        <v>1</v>
      </c>
      <c r="AW175">
        <v>1</v>
      </c>
      <c r="AZ175">
        <v>1</v>
      </c>
      <c r="BA175">
        <v>1</v>
      </c>
      <c r="BB175">
        <v>1</v>
      </c>
      <c r="BC175">
        <v>1</v>
      </c>
      <c r="BD175" t="s">
        <v>3</v>
      </c>
      <c r="BE175" t="s">
        <v>3</v>
      </c>
      <c r="BF175" t="s">
        <v>3</v>
      </c>
      <c r="BG175" t="s">
        <v>3</v>
      </c>
      <c r="BH175">
        <v>3</v>
      </c>
      <c r="BI175">
        <v>1</v>
      </c>
      <c r="BJ175" t="s">
        <v>3</v>
      </c>
      <c r="BM175">
        <v>13</v>
      </c>
      <c r="BN175">
        <v>0</v>
      </c>
      <c r="BO175" t="s">
        <v>3</v>
      </c>
      <c r="BP175">
        <v>0</v>
      </c>
      <c r="BQ175">
        <v>30</v>
      </c>
      <c r="BR175">
        <v>0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 t="s">
        <v>3</v>
      </c>
      <c r="BZ175">
        <v>84</v>
      </c>
      <c r="CA175">
        <v>53</v>
      </c>
      <c r="CB175" t="s">
        <v>3</v>
      </c>
      <c r="CE175">
        <v>1566</v>
      </c>
      <c r="CF175">
        <v>0</v>
      </c>
      <c r="CG175">
        <v>0</v>
      </c>
      <c r="CM175">
        <v>0</v>
      </c>
      <c r="CN175" t="s">
        <v>454</v>
      </c>
      <c r="CO175">
        <v>0</v>
      </c>
      <c r="CP175">
        <f t="shared" si="153"/>
        <v>0</v>
      </c>
      <c r="CQ175">
        <f t="shared" si="154"/>
        <v>0</v>
      </c>
      <c r="CR175">
        <f>(ROUND((ROUND(((ET175)*AV175*1),2)*BB175),2)+ROUND((ROUND(((AE175-(EU175))*AV175*1),2)*BS175),2))</f>
        <v>0</v>
      </c>
      <c r="CS175">
        <f>(ROUND((ROUND(((EU175)*AV175*1),2)*BS175),2)+ROUND((ROUND(((AE175-(EU175))*AV175*1),2)*BS175),2))</f>
        <v>0</v>
      </c>
      <c r="CT175">
        <f t="shared" si="155"/>
        <v>0</v>
      </c>
      <c r="CU175">
        <f t="shared" si="156"/>
        <v>0</v>
      </c>
      <c r="CV175">
        <f t="shared" si="157"/>
        <v>0</v>
      </c>
      <c r="CW175">
        <f t="shared" si="158"/>
        <v>0</v>
      </c>
      <c r="CX175">
        <f t="shared" si="159"/>
        <v>0</v>
      </c>
      <c r="CY175">
        <f>(ROUND((((S175+ROUND((ROUND(((EU175)*AV175*1),2)*BS175),2))*AT175)/100),2)+ROUND(((ROUND((ROUND(((AE175-(EU175))*AV175*1),2)*BS175),2)*AT175)/100),2))</f>
        <v>0</v>
      </c>
      <c r="CZ175">
        <f>(ROUND((((S175+ROUND((ROUND(((EU175)*AV175*1),2)*BS175),2))*AU175)/100),2)+ROUND(((ROUND((ROUND(((AE175-(EU175))*AV175*1),2)*BS175),2)*AU175)/100),2))</f>
        <v>0</v>
      </c>
      <c r="DC175" t="s">
        <v>3</v>
      </c>
      <c r="DD175" t="s">
        <v>3</v>
      </c>
      <c r="DE175" t="s">
        <v>3</v>
      </c>
      <c r="DF175" t="s">
        <v>3</v>
      </c>
      <c r="DG175" t="s">
        <v>3</v>
      </c>
      <c r="DH175" t="s">
        <v>3</v>
      </c>
      <c r="DI175" t="s">
        <v>3</v>
      </c>
      <c r="DJ175" t="s">
        <v>3</v>
      </c>
      <c r="DK175" t="s">
        <v>3</v>
      </c>
      <c r="DL175" t="s">
        <v>3</v>
      </c>
      <c r="DM175" t="s">
        <v>3</v>
      </c>
      <c r="DN175">
        <v>0</v>
      </c>
      <c r="DO175">
        <v>0</v>
      </c>
      <c r="DP175">
        <v>1</v>
      </c>
      <c r="DQ175">
        <v>1</v>
      </c>
      <c r="DU175">
        <v>1009</v>
      </c>
      <c r="DV175" t="s">
        <v>39</v>
      </c>
      <c r="DW175" t="s">
        <v>39</v>
      </c>
      <c r="DX175">
        <v>1000</v>
      </c>
      <c r="DZ175" t="s">
        <v>3</v>
      </c>
      <c r="EA175" t="s">
        <v>3</v>
      </c>
      <c r="EB175" t="s">
        <v>3</v>
      </c>
      <c r="EC175" t="s">
        <v>3</v>
      </c>
      <c r="EE175">
        <v>76282245</v>
      </c>
      <c r="EF175">
        <v>30</v>
      </c>
      <c r="EG175" t="s">
        <v>253</v>
      </c>
      <c r="EH175">
        <v>0</v>
      </c>
      <c r="EI175" t="s">
        <v>3</v>
      </c>
      <c r="EJ175">
        <v>1</v>
      </c>
      <c r="EK175">
        <v>13</v>
      </c>
      <c r="EL175" t="s">
        <v>320</v>
      </c>
      <c r="EM175" t="s">
        <v>321</v>
      </c>
      <c r="EO175" t="s">
        <v>62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FQ175">
        <v>0</v>
      </c>
      <c r="FR175">
        <v>0</v>
      </c>
      <c r="FS175">
        <v>0</v>
      </c>
      <c r="FX175">
        <v>84</v>
      </c>
      <c r="FY175">
        <v>53</v>
      </c>
      <c r="GA175" t="s">
        <v>3</v>
      </c>
      <c r="GD175">
        <v>1</v>
      </c>
      <c r="GF175">
        <v>-95273585</v>
      </c>
      <c r="GG175">
        <v>2</v>
      </c>
      <c r="GH175">
        <v>0</v>
      </c>
      <c r="GI175">
        <v>-2</v>
      </c>
      <c r="GJ175">
        <v>0</v>
      </c>
      <c r="GK175">
        <v>0</v>
      </c>
      <c r="GL175">
        <f t="shared" si="160"/>
        <v>0</v>
      </c>
      <c r="GM175">
        <f t="shared" si="161"/>
        <v>0</v>
      </c>
      <c r="GN175">
        <f t="shared" si="162"/>
        <v>0</v>
      </c>
      <c r="GO175">
        <f t="shared" si="163"/>
        <v>0</v>
      </c>
      <c r="GP175">
        <f t="shared" si="164"/>
        <v>0</v>
      </c>
      <c r="GR175">
        <v>0</v>
      </c>
      <c r="GS175">
        <v>0</v>
      </c>
      <c r="GT175">
        <v>0</v>
      </c>
      <c r="GU175" t="s">
        <v>3</v>
      </c>
      <c r="GV175">
        <f t="shared" si="165"/>
        <v>0</v>
      </c>
      <c r="GW175">
        <v>1</v>
      </c>
      <c r="GX175">
        <f t="shared" si="166"/>
        <v>0</v>
      </c>
      <c r="HA175">
        <v>0</v>
      </c>
      <c r="HB175">
        <v>0</v>
      </c>
      <c r="HC175">
        <f t="shared" si="167"/>
        <v>0</v>
      </c>
      <c r="HE175" t="s">
        <v>3</v>
      </c>
      <c r="HF175" t="s">
        <v>3</v>
      </c>
      <c r="HM175" t="s">
        <v>60</v>
      </c>
      <c r="HN175" t="s">
        <v>3</v>
      </c>
      <c r="HO175" t="s">
        <v>3</v>
      </c>
      <c r="HP175" t="s">
        <v>3</v>
      </c>
      <c r="HQ175" t="s">
        <v>3</v>
      </c>
      <c r="HS175">
        <v>0</v>
      </c>
      <c r="IK175">
        <v>0</v>
      </c>
    </row>
    <row r="176" spans="1:245">
      <c r="A176">
        <v>17</v>
      </c>
      <c r="B176">
        <v>1</v>
      </c>
      <c r="E176" t="s">
        <v>325</v>
      </c>
      <c r="F176" t="s">
        <v>326</v>
      </c>
      <c r="G176" t="s">
        <v>327</v>
      </c>
      <c r="H176" t="s">
        <v>32</v>
      </c>
      <c r="I176">
        <v>8</v>
      </c>
      <c r="J176">
        <v>0</v>
      </c>
      <c r="K176">
        <v>8</v>
      </c>
      <c r="O176">
        <f t="shared" si="143"/>
        <v>1506.1</v>
      </c>
      <c r="P176">
        <f t="shared" si="144"/>
        <v>1506.1</v>
      </c>
      <c r="Q176">
        <f>(ROUND((ROUND(((ET176)*AV176*I176),2)*BB176),2)+ROUND((ROUND(((AE176-(EU176))*AV176*I176),2)*BS176),2))</f>
        <v>0</v>
      </c>
      <c r="R176">
        <f>(ROUND((ROUND(((EU176)*AV176*I176),2)*BS176),2)+ROUND((ROUND(((AE176-(EU176))*AV176*I176),2)*BS176),2))</f>
        <v>0</v>
      </c>
      <c r="S176">
        <f t="shared" si="145"/>
        <v>0</v>
      </c>
      <c r="T176">
        <f t="shared" si="146"/>
        <v>0</v>
      </c>
      <c r="U176">
        <f t="shared" si="147"/>
        <v>0</v>
      </c>
      <c r="V176">
        <f t="shared" si="148"/>
        <v>0</v>
      </c>
      <c r="W176">
        <f t="shared" si="149"/>
        <v>0</v>
      </c>
      <c r="X176">
        <f>(ROUND((((S176+ROUND((ROUND(((EU176)*AV176*I176),2)*BS176),2))*AT176)/100),2)+ROUND(((ROUND((ROUND(((AE176-(EU176))*AV176*I176),2)*BS176),2)*AT176)/100),2))</f>
        <v>0</v>
      </c>
      <c r="Y176">
        <f>(ROUND((((S176+ROUND((ROUND(((EU176)*AV176*I176),2)*BS176),2))*AU176)/100),2)+ROUND(((ROUND((ROUND(((AE176-(EU176))*AV176*I176),2)*BS176),2)*AU176)/100),2))</f>
        <v>0</v>
      </c>
      <c r="AA176">
        <v>76282491</v>
      </c>
      <c r="AB176">
        <f t="shared" si="150"/>
        <v>13.23</v>
      </c>
      <c r="AC176">
        <f>ROUND((ES176),6)</f>
        <v>13.23</v>
      </c>
      <c r="AD176">
        <f>ROUND((((ET176)-(EU176))+AE176),6)</f>
        <v>0</v>
      </c>
      <c r="AE176">
        <f>ROUND((EU176),6)</f>
        <v>0</v>
      </c>
      <c r="AF176">
        <f>ROUND((EV176),6)</f>
        <v>0</v>
      </c>
      <c r="AG176">
        <f t="shared" si="151"/>
        <v>0</v>
      </c>
      <c r="AH176">
        <f>(EW176)</f>
        <v>0</v>
      </c>
      <c r="AI176">
        <f>(EX176)</f>
        <v>0</v>
      </c>
      <c r="AJ176">
        <f t="shared" si="152"/>
        <v>0</v>
      </c>
      <c r="AK176">
        <v>13.23</v>
      </c>
      <c r="AL176">
        <v>13.23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1</v>
      </c>
      <c r="AW176">
        <v>1</v>
      </c>
      <c r="AZ176">
        <v>1</v>
      </c>
      <c r="BA176">
        <v>1</v>
      </c>
      <c r="BB176">
        <v>1</v>
      </c>
      <c r="BC176">
        <v>14.23</v>
      </c>
      <c r="BD176" t="s">
        <v>3</v>
      </c>
      <c r="BE176" t="s">
        <v>3</v>
      </c>
      <c r="BF176" t="s">
        <v>3</v>
      </c>
      <c r="BG176" t="s">
        <v>3</v>
      </c>
      <c r="BH176">
        <v>3</v>
      </c>
      <c r="BI176">
        <v>1</v>
      </c>
      <c r="BJ176" t="s">
        <v>328</v>
      </c>
      <c r="BM176">
        <v>1617</v>
      </c>
      <c r="BN176">
        <v>0</v>
      </c>
      <c r="BO176" t="s">
        <v>326</v>
      </c>
      <c r="BP176">
        <v>1</v>
      </c>
      <c r="BQ176">
        <v>200</v>
      </c>
      <c r="BR176">
        <v>0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 t="s">
        <v>3</v>
      </c>
      <c r="BZ176">
        <v>0</v>
      </c>
      <c r="CA176">
        <v>0</v>
      </c>
      <c r="CB176" t="s">
        <v>3</v>
      </c>
      <c r="CE176">
        <v>1566</v>
      </c>
      <c r="CF176">
        <v>0</v>
      </c>
      <c r="CG176">
        <v>0</v>
      </c>
      <c r="CM176">
        <v>0</v>
      </c>
      <c r="CN176" t="s">
        <v>3</v>
      </c>
      <c r="CO176">
        <v>0</v>
      </c>
      <c r="CP176">
        <f t="shared" si="153"/>
        <v>1506.1</v>
      </c>
      <c r="CQ176">
        <f t="shared" si="154"/>
        <v>188.26</v>
      </c>
      <c r="CR176">
        <f>(ROUND((ROUND(((ET176)*AV176*1),2)*BB176),2)+ROUND((ROUND(((AE176-(EU176))*AV176*1),2)*BS176),2))</f>
        <v>0</v>
      </c>
      <c r="CS176">
        <f>(ROUND((ROUND(((EU176)*AV176*1),2)*BS176),2)+ROUND((ROUND(((AE176-(EU176))*AV176*1),2)*BS176),2))</f>
        <v>0</v>
      </c>
      <c r="CT176">
        <f t="shared" si="155"/>
        <v>0</v>
      </c>
      <c r="CU176">
        <f t="shared" si="156"/>
        <v>0</v>
      </c>
      <c r="CV176">
        <f t="shared" si="157"/>
        <v>0</v>
      </c>
      <c r="CW176">
        <f t="shared" si="158"/>
        <v>0</v>
      </c>
      <c r="CX176">
        <f t="shared" si="159"/>
        <v>0</v>
      </c>
      <c r="CY176">
        <f>(ROUND((((S176+ROUND((ROUND(((EU176)*AV176*1),2)*BS176),2))*AT176)/100),2)+ROUND(((ROUND((ROUND(((AE176-(EU176))*AV176*1),2)*BS176),2)*AT176)/100),2))</f>
        <v>0</v>
      </c>
      <c r="CZ176">
        <f>(ROUND((((S176+ROUND((ROUND(((EU176)*AV176*1),2)*BS176),2))*AU176)/100),2)+ROUND(((ROUND((ROUND(((AE176-(EU176))*AV176*1),2)*BS176),2)*AU176)/100),2))</f>
        <v>0</v>
      </c>
      <c r="DC176" t="s">
        <v>3</v>
      </c>
      <c r="DD176" t="s">
        <v>3</v>
      </c>
      <c r="DE176" t="s">
        <v>3</v>
      </c>
      <c r="DF176" t="s">
        <v>3</v>
      </c>
      <c r="DG176" t="s">
        <v>3</v>
      </c>
      <c r="DH176" t="s">
        <v>3</v>
      </c>
      <c r="DI176" t="s">
        <v>3</v>
      </c>
      <c r="DJ176" t="s">
        <v>3</v>
      </c>
      <c r="DK176" t="s">
        <v>3</v>
      </c>
      <c r="DL176" t="s">
        <v>3</v>
      </c>
      <c r="DM176" t="s">
        <v>3</v>
      </c>
      <c r="DN176">
        <v>0</v>
      </c>
      <c r="DO176">
        <v>0</v>
      </c>
      <c r="DP176">
        <v>1</v>
      </c>
      <c r="DQ176">
        <v>1</v>
      </c>
      <c r="DU176">
        <v>1010</v>
      </c>
      <c r="DV176" t="s">
        <v>32</v>
      </c>
      <c r="DW176" t="s">
        <v>32</v>
      </c>
      <c r="DX176">
        <v>1</v>
      </c>
      <c r="DZ176" t="s">
        <v>3</v>
      </c>
      <c r="EA176" t="s">
        <v>3</v>
      </c>
      <c r="EB176" t="s">
        <v>3</v>
      </c>
      <c r="EC176" t="s">
        <v>3</v>
      </c>
      <c r="EE176">
        <v>76282428</v>
      </c>
      <c r="EF176">
        <v>200</v>
      </c>
      <c r="EG176" t="s">
        <v>232</v>
      </c>
      <c r="EH176">
        <v>0</v>
      </c>
      <c r="EI176" t="s">
        <v>3</v>
      </c>
      <c r="EJ176">
        <v>1</v>
      </c>
      <c r="EK176">
        <v>1617</v>
      </c>
      <c r="EL176" t="s">
        <v>233</v>
      </c>
      <c r="EM176" t="s">
        <v>234</v>
      </c>
      <c r="EO176" t="s">
        <v>3</v>
      </c>
      <c r="EQ176">
        <v>131072</v>
      </c>
      <c r="ER176">
        <v>13.23</v>
      </c>
      <c r="ES176">
        <v>13.23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FQ176">
        <v>0</v>
      </c>
      <c r="FR176">
        <v>0</v>
      </c>
      <c r="FS176">
        <v>0</v>
      </c>
      <c r="FX176">
        <v>0</v>
      </c>
      <c r="FY176">
        <v>0</v>
      </c>
      <c r="GA176" t="s">
        <v>3</v>
      </c>
      <c r="GD176">
        <v>1</v>
      </c>
      <c r="GF176">
        <v>749468149</v>
      </c>
      <c r="GG176">
        <v>2</v>
      </c>
      <c r="GH176">
        <v>0</v>
      </c>
      <c r="GI176">
        <v>2</v>
      </c>
      <c r="GJ176">
        <v>0</v>
      </c>
      <c r="GK176">
        <v>0</v>
      </c>
      <c r="GL176">
        <f t="shared" si="160"/>
        <v>0</v>
      </c>
      <c r="GM176">
        <f t="shared" si="161"/>
        <v>1506.1</v>
      </c>
      <c r="GN176">
        <f t="shared" si="162"/>
        <v>1506.1</v>
      </c>
      <c r="GO176">
        <f t="shared" si="163"/>
        <v>0</v>
      </c>
      <c r="GP176">
        <f t="shared" si="164"/>
        <v>0</v>
      </c>
      <c r="GR176">
        <v>0</v>
      </c>
      <c r="GS176">
        <v>0</v>
      </c>
      <c r="GT176">
        <v>0</v>
      </c>
      <c r="GU176" t="s">
        <v>3</v>
      </c>
      <c r="GV176">
        <f t="shared" si="165"/>
        <v>0</v>
      </c>
      <c r="GW176">
        <v>1</v>
      </c>
      <c r="GX176">
        <f t="shared" si="166"/>
        <v>0</v>
      </c>
      <c r="HA176">
        <v>0</v>
      </c>
      <c r="HB176">
        <v>0</v>
      </c>
      <c r="HC176">
        <f t="shared" si="167"/>
        <v>0</v>
      </c>
      <c r="HE176" t="s">
        <v>3</v>
      </c>
      <c r="HF176" t="s">
        <v>3</v>
      </c>
      <c r="HM176" t="s">
        <v>3</v>
      </c>
      <c r="HN176" t="s">
        <v>3</v>
      </c>
      <c r="HO176" t="s">
        <v>3</v>
      </c>
      <c r="HP176" t="s">
        <v>3</v>
      </c>
      <c r="HQ176" t="s">
        <v>3</v>
      </c>
      <c r="HS176">
        <v>0</v>
      </c>
      <c r="IK176">
        <v>0</v>
      </c>
    </row>
    <row r="177" spans="1:245">
      <c r="A177">
        <v>17</v>
      </c>
      <c r="B177">
        <v>1</v>
      </c>
      <c r="E177" t="s">
        <v>329</v>
      </c>
      <c r="F177" t="s">
        <v>208</v>
      </c>
      <c r="G177" t="s">
        <v>209</v>
      </c>
      <c r="H177" t="s">
        <v>210</v>
      </c>
      <c r="I177">
        <f>ROUND(25/100,9)</f>
        <v>0.25</v>
      </c>
      <c r="J177">
        <v>0</v>
      </c>
      <c r="K177">
        <f>ROUND(25/100,9)</f>
        <v>0.25</v>
      </c>
      <c r="O177">
        <f t="shared" si="143"/>
        <v>8114.76</v>
      </c>
      <c r="P177">
        <f t="shared" si="144"/>
        <v>626.24</v>
      </c>
      <c r="Q177">
        <f>(ROUND((ROUND(((((ET177*1.2)*1))*AV177*I177),2)*BB177),2)+ROUND((ROUND(((AE177-(((EU177*1.2)*1)))*AV177*I177),2)*BS177),2))</f>
        <v>110.84</v>
      </c>
      <c r="R177">
        <f>(ROUND((ROUND(((((EU177*1.2)*1))*AV177*I177),2)*BS177),2)+ROUND((ROUND(((AE177-(((EU177*1.2)*1)))*AV177*I177),2)*BS177),2))</f>
        <v>63.54</v>
      </c>
      <c r="S177">
        <f t="shared" si="145"/>
        <v>7377.68</v>
      </c>
      <c r="T177">
        <f t="shared" si="146"/>
        <v>0</v>
      </c>
      <c r="U177">
        <f t="shared" si="147"/>
        <v>10.643849999999999</v>
      </c>
      <c r="V177">
        <f t="shared" si="148"/>
        <v>0</v>
      </c>
      <c r="W177">
        <f t="shared" si="149"/>
        <v>0</v>
      </c>
      <c r="X177">
        <f>(ROUND((((S177+ROUND((ROUND(((((EU177*1.2)*1))*AV177*I177),2)*BS177),2))*AT177)/100),2)+ROUND(((ROUND((ROUND(((AE177-(((EU177*1.2)*1)))*AV177*I177),2)*BS177),2)*AT177)/100),2))</f>
        <v>7217.98</v>
      </c>
      <c r="Y177">
        <f>(ROUND((((S177+ROUND((ROUND(((((EU177*1.2)*1))*AV177*I177),2)*BS177),2))*AU177)/100),2)+ROUND(((ROUND((ROUND(((AE177-(((EU177*1.2)*1)))*AV177*I177),2)*BS177),2)*AU177)/100),2))</f>
        <v>3795.02</v>
      </c>
      <c r="AA177">
        <v>76282491</v>
      </c>
      <c r="AB177">
        <f t="shared" si="150"/>
        <v>1558.6120000000001</v>
      </c>
      <c r="AC177">
        <f>ROUND((((ES177*1)*1)),6)</f>
        <v>1018.27</v>
      </c>
      <c r="AD177">
        <f>ROUND((((((ET177*1.2)*1))-(((EU177*1.2)*1)))+AE177),6)</f>
        <v>29.411999999999999</v>
      </c>
      <c r="AE177">
        <f>ROUND((((EU177*1.2)*1)),6)</f>
        <v>4.3920000000000003</v>
      </c>
      <c r="AF177">
        <f>ROUND((((EV177*1.2)*1.05)),6)</f>
        <v>510.93</v>
      </c>
      <c r="AG177">
        <f t="shared" si="151"/>
        <v>0</v>
      </c>
      <c r="AH177">
        <f>(((EW177*1.2)*1.05))</f>
        <v>42.575399999999995</v>
      </c>
      <c r="AI177">
        <f>(((EX177*1.2)*1))</f>
        <v>0</v>
      </c>
      <c r="AJ177">
        <f t="shared" si="152"/>
        <v>0</v>
      </c>
      <c r="AK177">
        <v>1448.28</v>
      </c>
      <c r="AL177">
        <v>1018.27</v>
      </c>
      <c r="AM177">
        <v>24.51</v>
      </c>
      <c r="AN177">
        <v>3.66</v>
      </c>
      <c r="AO177">
        <v>405.5</v>
      </c>
      <c r="AP177">
        <v>0</v>
      </c>
      <c r="AQ177">
        <v>33.79</v>
      </c>
      <c r="AR177">
        <v>0</v>
      </c>
      <c r="AS177">
        <v>0</v>
      </c>
      <c r="AT177">
        <v>97</v>
      </c>
      <c r="AU177">
        <v>51</v>
      </c>
      <c r="AV177">
        <v>1</v>
      </c>
      <c r="AW177">
        <v>1</v>
      </c>
      <c r="AZ177">
        <v>1</v>
      </c>
      <c r="BA177">
        <v>57.76</v>
      </c>
      <c r="BB177">
        <v>15.08</v>
      </c>
      <c r="BC177">
        <v>2.46</v>
      </c>
      <c r="BD177" t="s">
        <v>3</v>
      </c>
      <c r="BE177" t="s">
        <v>3</v>
      </c>
      <c r="BF177" t="s">
        <v>3</v>
      </c>
      <c r="BG177" t="s">
        <v>3</v>
      </c>
      <c r="BH177">
        <v>0</v>
      </c>
      <c r="BI177">
        <v>2</v>
      </c>
      <c r="BJ177" t="s">
        <v>211</v>
      </c>
      <c r="BM177">
        <v>67</v>
      </c>
      <c r="BN177">
        <v>0</v>
      </c>
      <c r="BO177" t="s">
        <v>208</v>
      </c>
      <c r="BP177">
        <v>1</v>
      </c>
      <c r="BQ177">
        <v>40</v>
      </c>
      <c r="BR177">
        <v>0</v>
      </c>
      <c r="BS177">
        <v>57.76</v>
      </c>
      <c r="BT177">
        <v>1</v>
      </c>
      <c r="BU177">
        <v>1</v>
      </c>
      <c r="BV177">
        <v>1</v>
      </c>
      <c r="BW177">
        <v>1</v>
      </c>
      <c r="BX177">
        <v>1</v>
      </c>
      <c r="BY177" t="s">
        <v>3</v>
      </c>
      <c r="BZ177">
        <v>97</v>
      </c>
      <c r="CA177">
        <v>51</v>
      </c>
      <c r="CB177" t="s">
        <v>3</v>
      </c>
      <c r="CE177">
        <v>1566</v>
      </c>
      <c r="CF177">
        <v>0</v>
      </c>
      <c r="CG177">
        <v>0</v>
      </c>
      <c r="CM177">
        <v>0</v>
      </c>
      <c r="CN177" t="s">
        <v>455</v>
      </c>
      <c r="CO177">
        <v>0</v>
      </c>
      <c r="CP177">
        <f t="shared" si="153"/>
        <v>8114.76</v>
      </c>
      <c r="CQ177">
        <f t="shared" si="154"/>
        <v>2504.94</v>
      </c>
      <c r="CR177">
        <f>(ROUND((ROUND(((((ET177*1.2)*1))*AV177*1),2)*BB177),2)+ROUND((ROUND(((AE177-(((EU177*1.2)*1)))*AV177*1),2)*BS177),2))</f>
        <v>443.5</v>
      </c>
      <c r="CS177">
        <f>(ROUND((ROUND(((((EU177*1.2)*1))*AV177*1),2)*BS177),2)+ROUND((ROUND(((AE177-(((EU177*1.2)*1)))*AV177*1),2)*BS177),2))</f>
        <v>253.57</v>
      </c>
      <c r="CT177">
        <f t="shared" si="155"/>
        <v>29511.32</v>
      </c>
      <c r="CU177">
        <f t="shared" si="156"/>
        <v>0</v>
      </c>
      <c r="CV177">
        <f t="shared" si="157"/>
        <v>42.575399999999995</v>
      </c>
      <c r="CW177">
        <f t="shared" si="158"/>
        <v>0</v>
      </c>
      <c r="CX177">
        <f t="shared" si="159"/>
        <v>0</v>
      </c>
      <c r="CY177">
        <f>(ROUND((((S177+ROUND((ROUND(((((EU177*1.2)*1))*AV177*1),2)*BS177),2))*AT177)/100),2)+ROUND(((ROUND((ROUND(((AE177-(((EU177*1.2)*1)))*AV177*1),2)*BS177),2)*AT177)/100),2))</f>
        <v>7402.31</v>
      </c>
      <c r="CZ177">
        <f>(ROUND((((S177+ROUND((ROUND(((((EU177*1.2)*1))*AV177*1),2)*BS177),2))*AU177)/100),2)+ROUND(((ROUND((ROUND(((AE177-(((EU177*1.2)*1)))*AV177*1),2)*BS177),2)*AU177)/100),2))</f>
        <v>3891.94</v>
      </c>
      <c r="DB177">
        <v>19</v>
      </c>
      <c r="DC177" t="s">
        <v>3</v>
      </c>
      <c r="DD177" t="s">
        <v>280</v>
      </c>
      <c r="DE177" t="s">
        <v>281</v>
      </c>
      <c r="DF177" t="s">
        <v>281</v>
      </c>
      <c r="DG177" t="s">
        <v>282</v>
      </c>
      <c r="DH177" t="s">
        <v>3</v>
      </c>
      <c r="DI177" t="s">
        <v>282</v>
      </c>
      <c r="DJ177" t="s">
        <v>281</v>
      </c>
      <c r="DK177" t="s">
        <v>3</v>
      </c>
      <c r="DL177" t="s">
        <v>3</v>
      </c>
      <c r="DM177" t="s">
        <v>3</v>
      </c>
      <c r="DN177">
        <v>0</v>
      </c>
      <c r="DO177">
        <v>0</v>
      </c>
      <c r="DP177">
        <v>1</v>
      </c>
      <c r="DQ177">
        <v>1</v>
      </c>
      <c r="DU177">
        <v>1003</v>
      </c>
      <c r="DV177" t="s">
        <v>210</v>
      </c>
      <c r="DW177" t="s">
        <v>210</v>
      </c>
      <c r="DX177">
        <v>100</v>
      </c>
      <c r="DZ177" t="s">
        <v>3</v>
      </c>
      <c r="EA177" t="s">
        <v>3</v>
      </c>
      <c r="EB177" t="s">
        <v>3</v>
      </c>
      <c r="EC177" t="s">
        <v>3</v>
      </c>
      <c r="EE177">
        <v>76282301</v>
      </c>
      <c r="EF177">
        <v>40</v>
      </c>
      <c r="EG177" t="s">
        <v>20</v>
      </c>
      <c r="EH177">
        <v>0</v>
      </c>
      <c r="EI177" t="s">
        <v>3</v>
      </c>
      <c r="EJ177">
        <v>2</v>
      </c>
      <c r="EK177">
        <v>67</v>
      </c>
      <c r="EL177" t="s">
        <v>21</v>
      </c>
      <c r="EM177" t="s">
        <v>22</v>
      </c>
      <c r="EO177" t="s">
        <v>283</v>
      </c>
      <c r="EQ177">
        <v>131072</v>
      </c>
      <c r="ER177">
        <v>1448.28</v>
      </c>
      <c r="ES177">
        <v>1018.27</v>
      </c>
      <c r="ET177">
        <v>24.51</v>
      </c>
      <c r="EU177">
        <v>3.66</v>
      </c>
      <c r="EV177">
        <v>405.5</v>
      </c>
      <c r="EW177">
        <v>33.79</v>
      </c>
      <c r="EX177">
        <v>0</v>
      </c>
      <c r="EY177">
        <v>0</v>
      </c>
      <c r="FQ177">
        <v>0</v>
      </c>
      <c r="FR177">
        <v>0</v>
      </c>
      <c r="FS177">
        <v>0</v>
      </c>
      <c r="FX177">
        <v>97</v>
      </c>
      <c r="FY177">
        <v>51</v>
      </c>
      <c r="GA177" t="s">
        <v>3</v>
      </c>
      <c r="GD177">
        <v>1</v>
      </c>
      <c r="GF177">
        <v>-283934161</v>
      </c>
      <c r="GG177">
        <v>2</v>
      </c>
      <c r="GH177">
        <v>0</v>
      </c>
      <c r="GI177">
        <v>2</v>
      </c>
      <c r="GJ177">
        <v>0</v>
      </c>
      <c r="GK177">
        <v>0</v>
      </c>
      <c r="GL177">
        <f t="shared" si="160"/>
        <v>0</v>
      </c>
      <c r="GM177">
        <f t="shared" si="161"/>
        <v>19127.759999999998</v>
      </c>
      <c r="GN177">
        <f t="shared" si="162"/>
        <v>0</v>
      </c>
      <c r="GO177">
        <f t="shared" si="163"/>
        <v>19127.759999999998</v>
      </c>
      <c r="GP177">
        <f t="shared" si="164"/>
        <v>0</v>
      </c>
      <c r="GR177">
        <v>0</v>
      </c>
      <c r="GS177">
        <v>7</v>
      </c>
      <c r="GT177">
        <v>0</v>
      </c>
      <c r="GU177" t="s">
        <v>3</v>
      </c>
      <c r="GV177">
        <f t="shared" si="165"/>
        <v>0</v>
      </c>
      <c r="GW177">
        <v>1</v>
      </c>
      <c r="GX177">
        <f t="shared" si="166"/>
        <v>0</v>
      </c>
      <c r="HA177">
        <v>0</v>
      </c>
      <c r="HB177">
        <v>0</v>
      </c>
      <c r="HC177">
        <f t="shared" si="167"/>
        <v>0</v>
      </c>
      <c r="HE177" t="s">
        <v>3</v>
      </c>
      <c r="HF177" t="s">
        <v>3</v>
      </c>
      <c r="HM177" t="s">
        <v>3</v>
      </c>
      <c r="HN177" t="s">
        <v>3</v>
      </c>
      <c r="HO177" t="s">
        <v>3</v>
      </c>
      <c r="HP177" t="s">
        <v>3</v>
      </c>
      <c r="HQ177" t="s">
        <v>3</v>
      </c>
      <c r="HS177">
        <v>0</v>
      </c>
      <c r="IK177">
        <v>0</v>
      </c>
    </row>
    <row r="178" spans="1:245">
      <c r="A178">
        <v>18</v>
      </c>
      <c r="B178">
        <v>1</v>
      </c>
      <c r="E178" t="s">
        <v>330</v>
      </c>
      <c r="F178" t="s">
        <v>213</v>
      </c>
      <c r="G178" t="s">
        <v>214</v>
      </c>
      <c r="H178" t="s">
        <v>215</v>
      </c>
      <c r="I178">
        <f>I177*J178</f>
        <v>0</v>
      </c>
      <c r="J178">
        <v>0</v>
      </c>
      <c r="K178">
        <v>0</v>
      </c>
      <c r="O178">
        <f t="shared" si="143"/>
        <v>0</v>
      </c>
      <c r="P178">
        <f t="shared" si="144"/>
        <v>0</v>
      </c>
      <c r="Q178">
        <f t="shared" ref="Q178:Q184" si="174">(ROUND((ROUND(((ET178)*AV178*I178),2)*BB178),2)+ROUND((ROUND(((AE178-(EU178))*AV178*I178),2)*BS178),2))</f>
        <v>0</v>
      </c>
      <c r="R178">
        <f t="shared" ref="R178:R184" si="175">(ROUND((ROUND(((EU178)*AV178*I178),2)*BS178),2)+ROUND((ROUND(((AE178-(EU178))*AV178*I178),2)*BS178),2))</f>
        <v>0</v>
      </c>
      <c r="S178">
        <f t="shared" si="145"/>
        <v>0</v>
      </c>
      <c r="T178">
        <f t="shared" si="146"/>
        <v>0</v>
      </c>
      <c r="U178">
        <f t="shared" si="147"/>
        <v>0</v>
      </c>
      <c r="V178">
        <f t="shared" si="148"/>
        <v>0</v>
      </c>
      <c r="W178">
        <f t="shared" si="149"/>
        <v>0</v>
      </c>
      <c r="X178">
        <f t="shared" ref="X178:X184" si="176">(ROUND((((S178+ROUND((ROUND(((EU178)*AV178*I178),2)*BS178),2))*AT178)/100),2)+ROUND(((ROUND((ROUND(((AE178-(EU178))*AV178*I178),2)*BS178),2)*AT178)/100),2))</f>
        <v>0</v>
      </c>
      <c r="Y178">
        <f t="shared" ref="Y178:Y184" si="177">(ROUND((((S178+ROUND((ROUND(((EU178)*AV178*I178),2)*BS178),2))*AU178)/100),2)+ROUND(((ROUND((ROUND(((AE178-(EU178))*AV178*I178),2)*BS178),2)*AU178)/100),2))</f>
        <v>0</v>
      </c>
      <c r="AA178">
        <v>76282491</v>
      </c>
      <c r="AB178">
        <f t="shared" si="150"/>
        <v>0</v>
      </c>
      <c r="AC178">
        <f t="shared" ref="AC178:AC184" si="178">ROUND((ES178),6)</f>
        <v>0</v>
      </c>
      <c r="AD178">
        <f t="shared" ref="AD178:AD184" si="179">ROUND((((ET178)-(EU178))+AE178),6)</f>
        <v>0</v>
      </c>
      <c r="AE178">
        <f t="shared" ref="AE178:AF184" si="180">ROUND((EU178),6)</f>
        <v>0</v>
      </c>
      <c r="AF178">
        <f t="shared" si="180"/>
        <v>0</v>
      </c>
      <c r="AG178">
        <f t="shared" si="151"/>
        <v>0</v>
      </c>
      <c r="AH178">
        <f t="shared" ref="AH178:AI184" si="181">(EW178)</f>
        <v>0</v>
      </c>
      <c r="AI178">
        <f t="shared" si="181"/>
        <v>0</v>
      </c>
      <c r="AJ178">
        <f t="shared" si="152"/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97</v>
      </c>
      <c r="AU178">
        <v>51</v>
      </c>
      <c r="AV178">
        <v>1</v>
      </c>
      <c r="AW178">
        <v>1</v>
      </c>
      <c r="AZ178">
        <v>1</v>
      </c>
      <c r="BA178">
        <v>1</v>
      </c>
      <c r="BB178">
        <v>1</v>
      </c>
      <c r="BC178">
        <v>1</v>
      </c>
      <c r="BD178" t="s">
        <v>3</v>
      </c>
      <c r="BE178" t="s">
        <v>3</v>
      </c>
      <c r="BF178" t="s">
        <v>3</v>
      </c>
      <c r="BG178" t="s">
        <v>3</v>
      </c>
      <c r="BH178">
        <v>3</v>
      </c>
      <c r="BI178">
        <v>2</v>
      </c>
      <c r="BJ178" t="s">
        <v>3</v>
      </c>
      <c r="BM178">
        <v>67</v>
      </c>
      <c r="BN178">
        <v>0</v>
      </c>
      <c r="BO178" t="s">
        <v>3</v>
      </c>
      <c r="BP178">
        <v>0</v>
      </c>
      <c r="BQ178">
        <v>40</v>
      </c>
      <c r="BR178">
        <v>0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 t="s">
        <v>3</v>
      </c>
      <c r="BZ178">
        <v>97</v>
      </c>
      <c r="CA178">
        <v>51</v>
      </c>
      <c r="CB178" t="s">
        <v>3</v>
      </c>
      <c r="CE178">
        <v>1566</v>
      </c>
      <c r="CF178">
        <v>0</v>
      </c>
      <c r="CG178">
        <v>0</v>
      </c>
      <c r="CM178">
        <v>0</v>
      </c>
      <c r="CN178" t="s">
        <v>456</v>
      </c>
      <c r="CO178">
        <v>0</v>
      </c>
      <c r="CP178">
        <f t="shared" si="153"/>
        <v>0</v>
      </c>
      <c r="CQ178">
        <f t="shared" si="154"/>
        <v>0</v>
      </c>
      <c r="CR178">
        <f t="shared" ref="CR178:CR184" si="182">(ROUND((ROUND(((ET178)*AV178*1),2)*BB178),2)+ROUND((ROUND(((AE178-(EU178))*AV178*1),2)*BS178),2))</f>
        <v>0</v>
      </c>
      <c r="CS178">
        <f t="shared" ref="CS178:CS184" si="183">(ROUND((ROUND(((EU178)*AV178*1),2)*BS178),2)+ROUND((ROUND(((AE178-(EU178))*AV178*1),2)*BS178),2))</f>
        <v>0</v>
      </c>
      <c r="CT178">
        <f t="shared" si="155"/>
        <v>0</v>
      </c>
      <c r="CU178">
        <f t="shared" si="156"/>
        <v>0</v>
      </c>
      <c r="CV178">
        <f t="shared" si="157"/>
        <v>0</v>
      </c>
      <c r="CW178">
        <f t="shared" si="158"/>
        <v>0</v>
      </c>
      <c r="CX178">
        <f t="shared" si="159"/>
        <v>0</v>
      </c>
      <c r="CY178">
        <f t="shared" ref="CY178:CY184" si="184">(ROUND((((S178+ROUND((ROUND(((EU178)*AV178*1),2)*BS178),2))*AT178)/100),2)+ROUND(((ROUND((ROUND(((AE178-(EU178))*AV178*1),2)*BS178),2)*AT178)/100),2))</f>
        <v>0</v>
      </c>
      <c r="CZ178">
        <f t="shared" ref="CZ178:CZ184" si="185">(ROUND((((S178+ROUND((ROUND(((EU178)*AV178*1),2)*BS178),2))*AU178)/100),2)+ROUND(((ROUND((ROUND(((AE178-(EU178))*AV178*1),2)*BS178),2)*AU178)/100),2))</f>
        <v>0</v>
      </c>
      <c r="DC178" t="s">
        <v>3</v>
      </c>
      <c r="DD178" t="s">
        <v>3</v>
      </c>
      <c r="DE178" t="s">
        <v>3</v>
      </c>
      <c r="DF178" t="s">
        <v>3</v>
      </c>
      <c r="DG178" t="s">
        <v>3</v>
      </c>
      <c r="DH178" t="s">
        <v>3</v>
      </c>
      <c r="DI178" t="s">
        <v>3</v>
      </c>
      <c r="DJ178" t="s">
        <v>3</v>
      </c>
      <c r="DK178" t="s">
        <v>3</v>
      </c>
      <c r="DL178" t="s">
        <v>3</v>
      </c>
      <c r="DM178" t="s">
        <v>3</v>
      </c>
      <c r="DN178">
        <v>0</v>
      </c>
      <c r="DO178">
        <v>0</v>
      </c>
      <c r="DP178">
        <v>1</v>
      </c>
      <c r="DQ178">
        <v>1</v>
      </c>
      <c r="DU178">
        <v>1003</v>
      </c>
      <c r="DV178" t="s">
        <v>215</v>
      </c>
      <c r="DW178" t="s">
        <v>215</v>
      </c>
      <c r="DX178">
        <v>1</v>
      </c>
      <c r="DZ178" t="s">
        <v>3</v>
      </c>
      <c r="EA178" t="s">
        <v>3</v>
      </c>
      <c r="EB178" t="s">
        <v>3</v>
      </c>
      <c r="EC178" t="s">
        <v>3</v>
      </c>
      <c r="EE178">
        <v>76282301</v>
      </c>
      <c r="EF178">
        <v>40</v>
      </c>
      <c r="EG178" t="s">
        <v>20</v>
      </c>
      <c r="EH178">
        <v>0</v>
      </c>
      <c r="EI178" t="s">
        <v>3</v>
      </c>
      <c r="EJ178">
        <v>2</v>
      </c>
      <c r="EK178">
        <v>67</v>
      </c>
      <c r="EL178" t="s">
        <v>21</v>
      </c>
      <c r="EM178" t="s">
        <v>22</v>
      </c>
      <c r="EO178" t="s">
        <v>287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FQ178">
        <v>0</v>
      </c>
      <c r="FR178">
        <v>0</v>
      </c>
      <c r="FS178">
        <v>0</v>
      </c>
      <c r="FX178">
        <v>97</v>
      </c>
      <c r="FY178">
        <v>51</v>
      </c>
      <c r="GA178" t="s">
        <v>3</v>
      </c>
      <c r="GD178">
        <v>1</v>
      </c>
      <c r="GF178">
        <v>1276083449</v>
      </c>
      <c r="GG178">
        <v>2</v>
      </c>
      <c r="GH178">
        <v>0</v>
      </c>
      <c r="GI178">
        <v>-2</v>
      </c>
      <c r="GJ178">
        <v>0</v>
      </c>
      <c r="GK178">
        <v>0</v>
      </c>
      <c r="GL178">
        <f t="shared" si="160"/>
        <v>0</v>
      </c>
      <c r="GM178">
        <f t="shared" si="161"/>
        <v>0</v>
      </c>
      <c r="GN178">
        <f t="shared" si="162"/>
        <v>0</v>
      </c>
      <c r="GO178">
        <f t="shared" si="163"/>
        <v>0</v>
      </c>
      <c r="GP178">
        <f t="shared" si="164"/>
        <v>0</v>
      </c>
      <c r="GR178">
        <v>0</v>
      </c>
      <c r="GS178">
        <v>0</v>
      </c>
      <c r="GT178">
        <v>0</v>
      </c>
      <c r="GU178" t="s">
        <v>3</v>
      </c>
      <c r="GV178">
        <f t="shared" si="165"/>
        <v>0</v>
      </c>
      <c r="GW178">
        <v>1</v>
      </c>
      <c r="GX178">
        <f t="shared" si="166"/>
        <v>0</v>
      </c>
      <c r="HA178">
        <v>0</v>
      </c>
      <c r="HB178">
        <v>0</v>
      </c>
      <c r="HC178">
        <f t="shared" si="167"/>
        <v>0</v>
      </c>
      <c r="HE178" t="s">
        <v>3</v>
      </c>
      <c r="HF178" t="s">
        <v>3</v>
      </c>
      <c r="HM178" t="s">
        <v>280</v>
      </c>
      <c r="HN178" t="s">
        <v>3</v>
      </c>
      <c r="HO178" t="s">
        <v>3</v>
      </c>
      <c r="HP178" t="s">
        <v>3</v>
      </c>
      <c r="HQ178" t="s">
        <v>3</v>
      </c>
      <c r="HS178">
        <v>0</v>
      </c>
      <c r="IK178">
        <v>0</v>
      </c>
    </row>
    <row r="179" spans="1:245">
      <c r="A179">
        <v>18</v>
      </c>
      <c r="B179">
        <v>1</v>
      </c>
      <c r="E179" t="s">
        <v>331</v>
      </c>
      <c r="F179" t="s">
        <v>213</v>
      </c>
      <c r="G179" t="s">
        <v>217</v>
      </c>
      <c r="H179" t="s">
        <v>215</v>
      </c>
      <c r="I179">
        <f>I177*J179</f>
        <v>0</v>
      </c>
      <c r="J179">
        <v>0</v>
      </c>
      <c r="K179">
        <v>0</v>
      </c>
      <c r="O179">
        <f t="shared" si="143"/>
        <v>0</v>
      </c>
      <c r="P179">
        <f t="shared" si="144"/>
        <v>0</v>
      </c>
      <c r="Q179">
        <f t="shared" si="174"/>
        <v>0</v>
      </c>
      <c r="R179">
        <f t="shared" si="175"/>
        <v>0</v>
      </c>
      <c r="S179">
        <f t="shared" si="145"/>
        <v>0</v>
      </c>
      <c r="T179">
        <f t="shared" si="146"/>
        <v>0</v>
      </c>
      <c r="U179">
        <f t="shared" si="147"/>
        <v>0</v>
      </c>
      <c r="V179">
        <f t="shared" si="148"/>
        <v>0</v>
      </c>
      <c r="W179">
        <f t="shared" si="149"/>
        <v>0</v>
      </c>
      <c r="X179">
        <f t="shared" si="176"/>
        <v>0</v>
      </c>
      <c r="Y179">
        <f t="shared" si="177"/>
        <v>0</v>
      </c>
      <c r="AA179">
        <v>76282491</v>
      </c>
      <c r="AB179">
        <f t="shared" si="150"/>
        <v>0</v>
      </c>
      <c r="AC179">
        <f t="shared" si="178"/>
        <v>0</v>
      </c>
      <c r="AD179">
        <f t="shared" si="179"/>
        <v>0</v>
      </c>
      <c r="AE179">
        <f t="shared" si="180"/>
        <v>0</v>
      </c>
      <c r="AF179">
        <f t="shared" si="180"/>
        <v>0</v>
      </c>
      <c r="AG179">
        <f t="shared" si="151"/>
        <v>0</v>
      </c>
      <c r="AH179">
        <f t="shared" si="181"/>
        <v>0</v>
      </c>
      <c r="AI179">
        <f t="shared" si="181"/>
        <v>0</v>
      </c>
      <c r="AJ179">
        <f t="shared" si="152"/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97</v>
      </c>
      <c r="AU179">
        <v>51</v>
      </c>
      <c r="AV179">
        <v>1</v>
      </c>
      <c r="AW179">
        <v>1</v>
      </c>
      <c r="AZ179">
        <v>1</v>
      </c>
      <c r="BA179">
        <v>1</v>
      </c>
      <c r="BB179">
        <v>1</v>
      </c>
      <c r="BC179">
        <v>1</v>
      </c>
      <c r="BD179" t="s">
        <v>3</v>
      </c>
      <c r="BE179" t="s">
        <v>3</v>
      </c>
      <c r="BF179" t="s">
        <v>3</v>
      </c>
      <c r="BG179" t="s">
        <v>3</v>
      </c>
      <c r="BH179">
        <v>3</v>
      </c>
      <c r="BI179">
        <v>2</v>
      </c>
      <c r="BJ179" t="s">
        <v>3</v>
      </c>
      <c r="BM179">
        <v>67</v>
      </c>
      <c r="BN179">
        <v>0</v>
      </c>
      <c r="BO179" t="s">
        <v>3</v>
      </c>
      <c r="BP179">
        <v>0</v>
      </c>
      <c r="BQ179">
        <v>40</v>
      </c>
      <c r="BR179">
        <v>0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 t="s">
        <v>3</v>
      </c>
      <c r="BZ179">
        <v>97</v>
      </c>
      <c r="CA179">
        <v>51</v>
      </c>
      <c r="CB179" t="s">
        <v>3</v>
      </c>
      <c r="CE179">
        <v>1566</v>
      </c>
      <c r="CF179">
        <v>0</v>
      </c>
      <c r="CG179">
        <v>0</v>
      </c>
      <c r="CM179">
        <v>0</v>
      </c>
      <c r="CN179" t="s">
        <v>456</v>
      </c>
      <c r="CO179">
        <v>0</v>
      </c>
      <c r="CP179">
        <f t="shared" si="153"/>
        <v>0</v>
      </c>
      <c r="CQ179">
        <f t="shared" si="154"/>
        <v>0</v>
      </c>
      <c r="CR179">
        <f t="shared" si="182"/>
        <v>0</v>
      </c>
      <c r="CS179">
        <f t="shared" si="183"/>
        <v>0</v>
      </c>
      <c r="CT179">
        <f t="shared" si="155"/>
        <v>0</v>
      </c>
      <c r="CU179">
        <f t="shared" si="156"/>
        <v>0</v>
      </c>
      <c r="CV179">
        <f t="shared" si="157"/>
        <v>0</v>
      </c>
      <c r="CW179">
        <f t="shared" si="158"/>
        <v>0</v>
      </c>
      <c r="CX179">
        <f t="shared" si="159"/>
        <v>0</v>
      </c>
      <c r="CY179">
        <f t="shared" si="184"/>
        <v>0</v>
      </c>
      <c r="CZ179">
        <f t="shared" si="185"/>
        <v>0</v>
      </c>
      <c r="DC179" t="s">
        <v>3</v>
      </c>
      <c r="DD179" t="s">
        <v>3</v>
      </c>
      <c r="DE179" t="s">
        <v>3</v>
      </c>
      <c r="DF179" t="s">
        <v>3</v>
      </c>
      <c r="DG179" t="s">
        <v>3</v>
      </c>
      <c r="DH179" t="s">
        <v>3</v>
      </c>
      <c r="DI179" t="s">
        <v>3</v>
      </c>
      <c r="DJ179" t="s">
        <v>3</v>
      </c>
      <c r="DK179" t="s">
        <v>3</v>
      </c>
      <c r="DL179" t="s">
        <v>3</v>
      </c>
      <c r="DM179" t="s">
        <v>3</v>
      </c>
      <c r="DN179">
        <v>0</v>
      </c>
      <c r="DO179">
        <v>0</v>
      </c>
      <c r="DP179">
        <v>1</v>
      </c>
      <c r="DQ179">
        <v>1</v>
      </c>
      <c r="DU179">
        <v>1003</v>
      </c>
      <c r="DV179" t="s">
        <v>215</v>
      </c>
      <c r="DW179" t="s">
        <v>215</v>
      </c>
      <c r="DX179">
        <v>1</v>
      </c>
      <c r="DZ179" t="s">
        <v>3</v>
      </c>
      <c r="EA179" t="s">
        <v>3</v>
      </c>
      <c r="EB179" t="s">
        <v>3</v>
      </c>
      <c r="EC179" t="s">
        <v>3</v>
      </c>
      <c r="EE179">
        <v>76282301</v>
      </c>
      <c r="EF179">
        <v>40</v>
      </c>
      <c r="EG179" t="s">
        <v>20</v>
      </c>
      <c r="EH179">
        <v>0</v>
      </c>
      <c r="EI179" t="s">
        <v>3</v>
      </c>
      <c r="EJ179">
        <v>2</v>
      </c>
      <c r="EK179">
        <v>67</v>
      </c>
      <c r="EL179" t="s">
        <v>21</v>
      </c>
      <c r="EM179" t="s">
        <v>22</v>
      </c>
      <c r="EO179" t="s">
        <v>287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FQ179">
        <v>0</v>
      </c>
      <c r="FR179">
        <v>0</v>
      </c>
      <c r="FS179">
        <v>0</v>
      </c>
      <c r="FX179">
        <v>97</v>
      </c>
      <c r="FY179">
        <v>51</v>
      </c>
      <c r="GA179" t="s">
        <v>3</v>
      </c>
      <c r="GD179">
        <v>1</v>
      </c>
      <c r="GF179">
        <v>1499251426</v>
      </c>
      <c r="GG179">
        <v>2</v>
      </c>
      <c r="GH179">
        <v>0</v>
      </c>
      <c r="GI179">
        <v>-2</v>
      </c>
      <c r="GJ179">
        <v>0</v>
      </c>
      <c r="GK179">
        <v>0</v>
      </c>
      <c r="GL179">
        <f t="shared" si="160"/>
        <v>0</v>
      </c>
      <c r="GM179">
        <f t="shared" si="161"/>
        <v>0</v>
      </c>
      <c r="GN179">
        <f t="shared" si="162"/>
        <v>0</v>
      </c>
      <c r="GO179">
        <f t="shared" si="163"/>
        <v>0</v>
      </c>
      <c r="GP179">
        <f t="shared" si="164"/>
        <v>0</v>
      </c>
      <c r="GR179">
        <v>0</v>
      </c>
      <c r="GS179">
        <v>0</v>
      </c>
      <c r="GT179">
        <v>0</v>
      </c>
      <c r="GU179" t="s">
        <v>3</v>
      </c>
      <c r="GV179">
        <f t="shared" si="165"/>
        <v>0</v>
      </c>
      <c r="GW179">
        <v>1</v>
      </c>
      <c r="GX179">
        <f t="shared" si="166"/>
        <v>0</v>
      </c>
      <c r="HA179">
        <v>0</v>
      </c>
      <c r="HB179">
        <v>0</v>
      </c>
      <c r="HC179">
        <f t="shared" si="167"/>
        <v>0</v>
      </c>
      <c r="HE179" t="s">
        <v>3</v>
      </c>
      <c r="HF179" t="s">
        <v>3</v>
      </c>
      <c r="HM179" t="s">
        <v>280</v>
      </c>
      <c r="HN179" t="s">
        <v>3</v>
      </c>
      <c r="HO179" t="s">
        <v>3</v>
      </c>
      <c r="HP179" t="s">
        <v>3</v>
      </c>
      <c r="HQ179" t="s">
        <v>3</v>
      </c>
      <c r="HS179">
        <v>0</v>
      </c>
      <c r="IK179">
        <v>0</v>
      </c>
    </row>
    <row r="180" spans="1:245">
      <c r="A180">
        <v>18</v>
      </c>
      <c r="B180">
        <v>1</v>
      </c>
      <c r="E180" t="s">
        <v>332</v>
      </c>
      <c r="F180" t="s">
        <v>213</v>
      </c>
      <c r="G180" t="s">
        <v>219</v>
      </c>
      <c r="H180" t="s">
        <v>32</v>
      </c>
      <c r="I180">
        <f>I177*J180</f>
        <v>0</v>
      </c>
      <c r="J180">
        <v>0</v>
      </c>
      <c r="K180">
        <v>0</v>
      </c>
      <c r="O180">
        <f t="shared" si="143"/>
        <v>0</v>
      </c>
      <c r="P180">
        <f t="shared" si="144"/>
        <v>0</v>
      </c>
      <c r="Q180">
        <f t="shared" si="174"/>
        <v>0</v>
      </c>
      <c r="R180">
        <f t="shared" si="175"/>
        <v>0</v>
      </c>
      <c r="S180">
        <f t="shared" si="145"/>
        <v>0</v>
      </c>
      <c r="T180">
        <f t="shared" si="146"/>
        <v>0</v>
      </c>
      <c r="U180">
        <f t="shared" si="147"/>
        <v>0</v>
      </c>
      <c r="V180">
        <f t="shared" si="148"/>
        <v>0</v>
      </c>
      <c r="W180">
        <f t="shared" si="149"/>
        <v>0</v>
      </c>
      <c r="X180">
        <f t="shared" si="176"/>
        <v>0</v>
      </c>
      <c r="Y180">
        <f t="shared" si="177"/>
        <v>0</v>
      </c>
      <c r="AA180">
        <v>76282491</v>
      </c>
      <c r="AB180">
        <f t="shared" si="150"/>
        <v>0</v>
      </c>
      <c r="AC180">
        <f t="shared" si="178"/>
        <v>0</v>
      </c>
      <c r="AD180">
        <f t="shared" si="179"/>
        <v>0</v>
      </c>
      <c r="AE180">
        <f t="shared" si="180"/>
        <v>0</v>
      </c>
      <c r="AF180">
        <f t="shared" si="180"/>
        <v>0</v>
      </c>
      <c r="AG180">
        <f t="shared" si="151"/>
        <v>0</v>
      </c>
      <c r="AH180">
        <f t="shared" si="181"/>
        <v>0</v>
      </c>
      <c r="AI180">
        <f t="shared" si="181"/>
        <v>0</v>
      </c>
      <c r="AJ180">
        <f t="shared" si="152"/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97</v>
      </c>
      <c r="AU180">
        <v>51</v>
      </c>
      <c r="AV180">
        <v>1</v>
      </c>
      <c r="AW180">
        <v>1</v>
      </c>
      <c r="AZ180">
        <v>1</v>
      </c>
      <c r="BA180">
        <v>1</v>
      </c>
      <c r="BB180">
        <v>1</v>
      </c>
      <c r="BC180">
        <v>1</v>
      </c>
      <c r="BD180" t="s">
        <v>3</v>
      </c>
      <c r="BE180" t="s">
        <v>3</v>
      </c>
      <c r="BF180" t="s">
        <v>3</v>
      </c>
      <c r="BG180" t="s">
        <v>3</v>
      </c>
      <c r="BH180">
        <v>3</v>
      </c>
      <c r="BI180">
        <v>2</v>
      </c>
      <c r="BJ180" t="s">
        <v>3</v>
      </c>
      <c r="BM180">
        <v>67</v>
      </c>
      <c r="BN180">
        <v>0</v>
      </c>
      <c r="BO180" t="s">
        <v>3</v>
      </c>
      <c r="BP180">
        <v>0</v>
      </c>
      <c r="BQ180">
        <v>40</v>
      </c>
      <c r="BR180">
        <v>0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 t="s">
        <v>3</v>
      </c>
      <c r="BZ180">
        <v>97</v>
      </c>
      <c r="CA180">
        <v>51</v>
      </c>
      <c r="CB180" t="s">
        <v>3</v>
      </c>
      <c r="CE180">
        <v>1566</v>
      </c>
      <c r="CF180">
        <v>0</v>
      </c>
      <c r="CG180">
        <v>0</v>
      </c>
      <c r="CM180">
        <v>0</v>
      </c>
      <c r="CN180" t="s">
        <v>456</v>
      </c>
      <c r="CO180">
        <v>0</v>
      </c>
      <c r="CP180">
        <f t="shared" si="153"/>
        <v>0</v>
      </c>
      <c r="CQ180">
        <f t="shared" si="154"/>
        <v>0</v>
      </c>
      <c r="CR180">
        <f t="shared" si="182"/>
        <v>0</v>
      </c>
      <c r="CS180">
        <f t="shared" si="183"/>
        <v>0</v>
      </c>
      <c r="CT180">
        <f t="shared" si="155"/>
        <v>0</v>
      </c>
      <c r="CU180">
        <f t="shared" si="156"/>
        <v>0</v>
      </c>
      <c r="CV180">
        <f t="shared" si="157"/>
        <v>0</v>
      </c>
      <c r="CW180">
        <f t="shared" si="158"/>
        <v>0</v>
      </c>
      <c r="CX180">
        <f t="shared" si="159"/>
        <v>0</v>
      </c>
      <c r="CY180">
        <f t="shared" si="184"/>
        <v>0</v>
      </c>
      <c r="CZ180">
        <f t="shared" si="185"/>
        <v>0</v>
      </c>
      <c r="DC180" t="s">
        <v>3</v>
      </c>
      <c r="DD180" t="s">
        <v>3</v>
      </c>
      <c r="DE180" t="s">
        <v>3</v>
      </c>
      <c r="DF180" t="s">
        <v>3</v>
      </c>
      <c r="DG180" t="s">
        <v>3</v>
      </c>
      <c r="DH180" t="s">
        <v>3</v>
      </c>
      <c r="DI180" t="s">
        <v>3</v>
      </c>
      <c r="DJ180" t="s">
        <v>3</v>
      </c>
      <c r="DK180" t="s">
        <v>3</v>
      </c>
      <c r="DL180" t="s">
        <v>3</v>
      </c>
      <c r="DM180" t="s">
        <v>3</v>
      </c>
      <c r="DN180">
        <v>0</v>
      </c>
      <c r="DO180">
        <v>0</v>
      </c>
      <c r="DP180">
        <v>1</v>
      </c>
      <c r="DQ180">
        <v>1</v>
      </c>
      <c r="DU180">
        <v>1010</v>
      </c>
      <c r="DV180" t="s">
        <v>32</v>
      </c>
      <c r="DW180" t="s">
        <v>32</v>
      </c>
      <c r="DX180">
        <v>1</v>
      </c>
      <c r="DZ180" t="s">
        <v>3</v>
      </c>
      <c r="EA180" t="s">
        <v>3</v>
      </c>
      <c r="EB180" t="s">
        <v>3</v>
      </c>
      <c r="EC180" t="s">
        <v>3</v>
      </c>
      <c r="EE180">
        <v>76282301</v>
      </c>
      <c r="EF180">
        <v>40</v>
      </c>
      <c r="EG180" t="s">
        <v>20</v>
      </c>
      <c r="EH180">
        <v>0</v>
      </c>
      <c r="EI180" t="s">
        <v>3</v>
      </c>
      <c r="EJ180">
        <v>2</v>
      </c>
      <c r="EK180">
        <v>67</v>
      </c>
      <c r="EL180" t="s">
        <v>21</v>
      </c>
      <c r="EM180" t="s">
        <v>22</v>
      </c>
      <c r="EO180" t="s">
        <v>287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FQ180">
        <v>0</v>
      </c>
      <c r="FR180">
        <v>0</v>
      </c>
      <c r="FS180">
        <v>0</v>
      </c>
      <c r="FX180">
        <v>97</v>
      </c>
      <c r="FY180">
        <v>51</v>
      </c>
      <c r="GA180" t="s">
        <v>3</v>
      </c>
      <c r="GD180">
        <v>1</v>
      </c>
      <c r="GF180">
        <v>-1011579651</v>
      </c>
      <c r="GG180">
        <v>2</v>
      </c>
      <c r="GH180">
        <v>0</v>
      </c>
      <c r="GI180">
        <v>-2</v>
      </c>
      <c r="GJ180">
        <v>0</v>
      </c>
      <c r="GK180">
        <v>0</v>
      </c>
      <c r="GL180">
        <f t="shared" si="160"/>
        <v>0</v>
      </c>
      <c r="GM180">
        <f t="shared" si="161"/>
        <v>0</v>
      </c>
      <c r="GN180">
        <f t="shared" si="162"/>
        <v>0</v>
      </c>
      <c r="GO180">
        <f t="shared" si="163"/>
        <v>0</v>
      </c>
      <c r="GP180">
        <f t="shared" si="164"/>
        <v>0</v>
      </c>
      <c r="GR180">
        <v>0</v>
      </c>
      <c r="GS180">
        <v>0</v>
      </c>
      <c r="GT180">
        <v>0</v>
      </c>
      <c r="GU180" t="s">
        <v>3</v>
      </c>
      <c r="GV180">
        <f t="shared" si="165"/>
        <v>0</v>
      </c>
      <c r="GW180">
        <v>1</v>
      </c>
      <c r="GX180">
        <f t="shared" si="166"/>
        <v>0</v>
      </c>
      <c r="HA180">
        <v>0</v>
      </c>
      <c r="HB180">
        <v>0</v>
      </c>
      <c r="HC180">
        <f t="shared" si="167"/>
        <v>0</v>
      </c>
      <c r="HE180" t="s">
        <v>3</v>
      </c>
      <c r="HF180" t="s">
        <v>3</v>
      </c>
      <c r="HM180" t="s">
        <v>280</v>
      </c>
      <c r="HN180" t="s">
        <v>3</v>
      </c>
      <c r="HO180" t="s">
        <v>3</v>
      </c>
      <c r="HP180" t="s">
        <v>3</v>
      </c>
      <c r="HQ180" t="s">
        <v>3</v>
      </c>
      <c r="HS180">
        <v>0</v>
      </c>
      <c r="IK180">
        <v>0</v>
      </c>
    </row>
    <row r="181" spans="1:245">
      <c r="A181">
        <v>18</v>
      </c>
      <c r="B181">
        <v>1</v>
      </c>
      <c r="E181" t="s">
        <v>333</v>
      </c>
      <c r="F181" t="s">
        <v>213</v>
      </c>
      <c r="G181" t="s">
        <v>221</v>
      </c>
      <c r="H181" t="s">
        <v>32</v>
      </c>
      <c r="I181">
        <f>I177*J181</f>
        <v>0</v>
      </c>
      <c r="J181">
        <v>0</v>
      </c>
      <c r="K181">
        <v>0</v>
      </c>
      <c r="O181">
        <f t="shared" si="143"/>
        <v>0</v>
      </c>
      <c r="P181">
        <f t="shared" si="144"/>
        <v>0</v>
      </c>
      <c r="Q181">
        <f t="shared" si="174"/>
        <v>0</v>
      </c>
      <c r="R181">
        <f t="shared" si="175"/>
        <v>0</v>
      </c>
      <c r="S181">
        <f t="shared" si="145"/>
        <v>0</v>
      </c>
      <c r="T181">
        <f t="shared" si="146"/>
        <v>0</v>
      </c>
      <c r="U181">
        <f t="shared" si="147"/>
        <v>0</v>
      </c>
      <c r="V181">
        <f t="shared" si="148"/>
        <v>0</v>
      </c>
      <c r="W181">
        <f t="shared" si="149"/>
        <v>0</v>
      </c>
      <c r="X181">
        <f t="shared" si="176"/>
        <v>0</v>
      </c>
      <c r="Y181">
        <f t="shared" si="177"/>
        <v>0</v>
      </c>
      <c r="AA181">
        <v>76282491</v>
      </c>
      <c r="AB181">
        <f t="shared" si="150"/>
        <v>0</v>
      </c>
      <c r="AC181">
        <f t="shared" si="178"/>
        <v>0</v>
      </c>
      <c r="AD181">
        <f t="shared" si="179"/>
        <v>0</v>
      </c>
      <c r="AE181">
        <f t="shared" si="180"/>
        <v>0</v>
      </c>
      <c r="AF181">
        <f t="shared" si="180"/>
        <v>0</v>
      </c>
      <c r="AG181">
        <f t="shared" si="151"/>
        <v>0</v>
      </c>
      <c r="AH181">
        <f t="shared" si="181"/>
        <v>0</v>
      </c>
      <c r="AI181">
        <f t="shared" si="181"/>
        <v>0</v>
      </c>
      <c r="AJ181">
        <f t="shared" si="152"/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97</v>
      </c>
      <c r="AU181">
        <v>51</v>
      </c>
      <c r="AV181">
        <v>1</v>
      </c>
      <c r="AW181">
        <v>1</v>
      </c>
      <c r="AZ181">
        <v>1</v>
      </c>
      <c r="BA181">
        <v>1</v>
      </c>
      <c r="BB181">
        <v>1</v>
      </c>
      <c r="BC181">
        <v>1</v>
      </c>
      <c r="BD181" t="s">
        <v>3</v>
      </c>
      <c r="BE181" t="s">
        <v>3</v>
      </c>
      <c r="BF181" t="s">
        <v>3</v>
      </c>
      <c r="BG181" t="s">
        <v>3</v>
      </c>
      <c r="BH181">
        <v>3</v>
      </c>
      <c r="BI181">
        <v>2</v>
      </c>
      <c r="BJ181" t="s">
        <v>3</v>
      </c>
      <c r="BM181">
        <v>67</v>
      </c>
      <c r="BN181">
        <v>0</v>
      </c>
      <c r="BO181" t="s">
        <v>3</v>
      </c>
      <c r="BP181">
        <v>0</v>
      </c>
      <c r="BQ181">
        <v>40</v>
      </c>
      <c r="BR181">
        <v>0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 t="s">
        <v>3</v>
      </c>
      <c r="BZ181">
        <v>97</v>
      </c>
      <c r="CA181">
        <v>51</v>
      </c>
      <c r="CB181" t="s">
        <v>3</v>
      </c>
      <c r="CE181">
        <v>1566</v>
      </c>
      <c r="CF181">
        <v>0</v>
      </c>
      <c r="CG181">
        <v>0</v>
      </c>
      <c r="CM181">
        <v>0</v>
      </c>
      <c r="CN181" t="s">
        <v>456</v>
      </c>
      <c r="CO181">
        <v>0</v>
      </c>
      <c r="CP181">
        <f t="shared" si="153"/>
        <v>0</v>
      </c>
      <c r="CQ181">
        <f t="shared" si="154"/>
        <v>0</v>
      </c>
      <c r="CR181">
        <f t="shared" si="182"/>
        <v>0</v>
      </c>
      <c r="CS181">
        <f t="shared" si="183"/>
        <v>0</v>
      </c>
      <c r="CT181">
        <f t="shared" si="155"/>
        <v>0</v>
      </c>
      <c r="CU181">
        <f t="shared" si="156"/>
        <v>0</v>
      </c>
      <c r="CV181">
        <f t="shared" si="157"/>
        <v>0</v>
      </c>
      <c r="CW181">
        <f t="shared" si="158"/>
        <v>0</v>
      </c>
      <c r="CX181">
        <f t="shared" si="159"/>
        <v>0</v>
      </c>
      <c r="CY181">
        <f t="shared" si="184"/>
        <v>0</v>
      </c>
      <c r="CZ181">
        <f t="shared" si="185"/>
        <v>0</v>
      </c>
      <c r="DC181" t="s">
        <v>3</v>
      </c>
      <c r="DD181" t="s">
        <v>3</v>
      </c>
      <c r="DE181" t="s">
        <v>3</v>
      </c>
      <c r="DF181" t="s">
        <v>3</v>
      </c>
      <c r="DG181" t="s">
        <v>3</v>
      </c>
      <c r="DH181" t="s">
        <v>3</v>
      </c>
      <c r="DI181" t="s">
        <v>3</v>
      </c>
      <c r="DJ181" t="s">
        <v>3</v>
      </c>
      <c r="DK181" t="s">
        <v>3</v>
      </c>
      <c r="DL181" t="s">
        <v>3</v>
      </c>
      <c r="DM181" t="s">
        <v>3</v>
      </c>
      <c r="DN181">
        <v>0</v>
      </c>
      <c r="DO181">
        <v>0</v>
      </c>
      <c r="DP181">
        <v>1</v>
      </c>
      <c r="DQ181">
        <v>1</v>
      </c>
      <c r="DU181">
        <v>1010</v>
      </c>
      <c r="DV181" t="s">
        <v>32</v>
      </c>
      <c r="DW181" t="s">
        <v>32</v>
      </c>
      <c r="DX181">
        <v>1</v>
      </c>
      <c r="DZ181" t="s">
        <v>3</v>
      </c>
      <c r="EA181" t="s">
        <v>3</v>
      </c>
      <c r="EB181" t="s">
        <v>3</v>
      </c>
      <c r="EC181" t="s">
        <v>3</v>
      </c>
      <c r="EE181">
        <v>76282301</v>
      </c>
      <c r="EF181">
        <v>40</v>
      </c>
      <c r="EG181" t="s">
        <v>20</v>
      </c>
      <c r="EH181">
        <v>0</v>
      </c>
      <c r="EI181" t="s">
        <v>3</v>
      </c>
      <c r="EJ181">
        <v>2</v>
      </c>
      <c r="EK181">
        <v>67</v>
      </c>
      <c r="EL181" t="s">
        <v>21</v>
      </c>
      <c r="EM181" t="s">
        <v>22</v>
      </c>
      <c r="EO181" t="s">
        <v>287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FQ181">
        <v>0</v>
      </c>
      <c r="FR181">
        <v>0</v>
      </c>
      <c r="FS181">
        <v>0</v>
      </c>
      <c r="FX181">
        <v>97</v>
      </c>
      <c r="FY181">
        <v>51</v>
      </c>
      <c r="GA181" t="s">
        <v>3</v>
      </c>
      <c r="GD181">
        <v>1</v>
      </c>
      <c r="GF181">
        <v>843126365</v>
      </c>
      <c r="GG181">
        <v>2</v>
      </c>
      <c r="GH181">
        <v>0</v>
      </c>
      <c r="GI181">
        <v>-2</v>
      </c>
      <c r="GJ181">
        <v>0</v>
      </c>
      <c r="GK181">
        <v>0</v>
      </c>
      <c r="GL181">
        <f t="shared" si="160"/>
        <v>0</v>
      </c>
      <c r="GM181">
        <f t="shared" si="161"/>
        <v>0</v>
      </c>
      <c r="GN181">
        <f t="shared" si="162"/>
        <v>0</v>
      </c>
      <c r="GO181">
        <f t="shared" si="163"/>
        <v>0</v>
      </c>
      <c r="GP181">
        <f t="shared" si="164"/>
        <v>0</v>
      </c>
      <c r="GR181">
        <v>0</v>
      </c>
      <c r="GS181">
        <v>0</v>
      </c>
      <c r="GT181">
        <v>0</v>
      </c>
      <c r="GU181" t="s">
        <v>3</v>
      </c>
      <c r="GV181">
        <f t="shared" si="165"/>
        <v>0</v>
      </c>
      <c r="GW181">
        <v>1</v>
      </c>
      <c r="GX181">
        <f t="shared" si="166"/>
        <v>0</v>
      </c>
      <c r="HA181">
        <v>0</v>
      </c>
      <c r="HB181">
        <v>0</v>
      </c>
      <c r="HC181">
        <f t="shared" si="167"/>
        <v>0</v>
      </c>
      <c r="HE181" t="s">
        <v>3</v>
      </c>
      <c r="HF181" t="s">
        <v>3</v>
      </c>
      <c r="HM181" t="s">
        <v>280</v>
      </c>
      <c r="HN181" t="s">
        <v>3</v>
      </c>
      <c r="HO181" t="s">
        <v>3</v>
      </c>
      <c r="HP181" t="s">
        <v>3</v>
      </c>
      <c r="HQ181" t="s">
        <v>3</v>
      </c>
      <c r="HS181">
        <v>0</v>
      </c>
      <c r="IK181">
        <v>0</v>
      </c>
    </row>
    <row r="182" spans="1:245">
      <c r="A182">
        <v>18</v>
      </c>
      <c r="B182">
        <v>1</v>
      </c>
      <c r="E182" t="s">
        <v>334</v>
      </c>
      <c r="F182" t="s">
        <v>213</v>
      </c>
      <c r="G182" t="s">
        <v>223</v>
      </c>
      <c r="H182" t="s">
        <v>32</v>
      </c>
      <c r="I182">
        <f>I177*J182</f>
        <v>0</v>
      </c>
      <c r="J182">
        <v>0</v>
      </c>
      <c r="K182">
        <v>0</v>
      </c>
      <c r="O182">
        <f t="shared" si="143"/>
        <v>0</v>
      </c>
      <c r="P182">
        <f t="shared" si="144"/>
        <v>0</v>
      </c>
      <c r="Q182">
        <f t="shared" si="174"/>
        <v>0</v>
      </c>
      <c r="R182">
        <f t="shared" si="175"/>
        <v>0</v>
      </c>
      <c r="S182">
        <f t="shared" si="145"/>
        <v>0</v>
      </c>
      <c r="T182">
        <f t="shared" si="146"/>
        <v>0</v>
      </c>
      <c r="U182">
        <f t="shared" si="147"/>
        <v>0</v>
      </c>
      <c r="V182">
        <f t="shared" si="148"/>
        <v>0</v>
      </c>
      <c r="W182">
        <f t="shared" si="149"/>
        <v>0</v>
      </c>
      <c r="X182">
        <f t="shared" si="176"/>
        <v>0</v>
      </c>
      <c r="Y182">
        <f t="shared" si="177"/>
        <v>0</v>
      </c>
      <c r="AA182">
        <v>76282491</v>
      </c>
      <c r="AB182">
        <f t="shared" si="150"/>
        <v>0</v>
      </c>
      <c r="AC182">
        <f t="shared" si="178"/>
        <v>0</v>
      </c>
      <c r="AD182">
        <f t="shared" si="179"/>
        <v>0</v>
      </c>
      <c r="AE182">
        <f t="shared" si="180"/>
        <v>0</v>
      </c>
      <c r="AF182">
        <f t="shared" si="180"/>
        <v>0</v>
      </c>
      <c r="AG182">
        <f t="shared" si="151"/>
        <v>0</v>
      </c>
      <c r="AH182">
        <f t="shared" si="181"/>
        <v>0</v>
      </c>
      <c r="AI182">
        <f t="shared" si="181"/>
        <v>0</v>
      </c>
      <c r="AJ182">
        <f t="shared" si="152"/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97</v>
      </c>
      <c r="AU182">
        <v>51</v>
      </c>
      <c r="AV182">
        <v>1</v>
      </c>
      <c r="AW182">
        <v>1</v>
      </c>
      <c r="AZ182">
        <v>1</v>
      </c>
      <c r="BA182">
        <v>1</v>
      </c>
      <c r="BB182">
        <v>1</v>
      </c>
      <c r="BC182">
        <v>1</v>
      </c>
      <c r="BD182" t="s">
        <v>3</v>
      </c>
      <c r="BE182" t="s">
        <v>3</v>
      </c>
      <c r="BF182" t="s">
        <v>3</v>
      </c>
      <c r="BG182" t="s">
        <v>3</v>
      </c>
      <c r="BH182">
        <v>3</v>
      </c>
      <c r="BI182">
        <v>2</v>
      </c>
      <c r="BJ182" t="s">
        <v>3</v>
      </c>
      <c r="BM182">
        <v>67</v>
      </c>
      <c r="BN182">
        <v>0</v>
      </c>
      <c r="BO182" t="s">
        <v>3</v>
      </c>
      <c r="BP182">
        <v>0</v>
      </c>
      <c r="BQ182">
        <v>40</v>
      </c>
      <c r="BR182">
        <v>0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 t="s">
        <v>3</v>
      </c>
      <c r="BZ182">
        <v>97</v>
      </c>
      <c r="CA182">
        <v>51</v>
      </c>
      <c r="CB182" t="s">
        <v>3</v>
      </c>
      <c r="CE182">
        <v>1566</v>
      </c>
      <c r="CF182">
        <v>0</v>
      </c>
      <c r="CG182">
        <v>0</v>
      </c>
      <c r="CM182">
        <v>0</v>
      </c>
      <c r="CN182" t="s">
        <v>456</v>
      </c>
      <c r="CO182">
        <v>0</v>
      </c>
      <c r="CP182">
        <f t="shared" si="153"/>
        <v>0</v>
      </c>
      <c r="CQ182">
        <f t="shared" si="154"/>
        <v>0</v>
      </c>
      <c r="CR182">
        <f t="shared" si="182"/>
        <v>0</v>
      </c>
      <c r="CS182">
        <f t="shared" si="183"/>
        <v>0</v>
      </c>
      <c r="CT182">
        <f t="shared" si="155"/>
        <v>0</v>
      </c>
      <c r="CU182">
        <f t="shared" si="156"/>
        <v>0</v>
      </c>
      <c r="CV182">
        <f t="shared" si="157"/>
        <v>0</v>
      </c>
      <c r="CW182">
        <f t="shared" si="158"/>
        <v>0</v>
      </c>
      <c r="CX182">
        <f t="shared" si="159"/>
        <v>0</v>
      </c>
      <c r="CY182">
        <f t="shared" si="184"/>
        <v>0</v>
      </c>
      <c r="CZ182">
        <f t="shared" si="185"/>
        <v>0</v>
      </c>
      <c r="DC182" t="s">
        <v>3</v>
      </c>
      <c r="DD182" t="s">
        <v>3</v>
      </c>
      <c r="DE182" t="s">
        <v>3</v>
      </c>
      <c r="DF182" t="s">
        <v>3</v>
      </c>
      <c r="DG182" t="s">
        <v>3</v>
      </c>
      <c r="DH182" t="s">
        <v>3</v>
      </c>
      <c r="DI182" t="s">
        <v>3</v>
      </c>
      <c r="DJ182" t="s">
        <v>3</v>
      </c>
      <c r="DK182" t="s">
        <v>3</v>
      </c>
      <c r="DL182" t="s">
        <v>3</v>
      </c>
      <c r="DM182" t="s">
        <v>3</v>
      </c>
      <c r="DN182">
        <v>0</v>
      </c>
      <c r="DO182">
        <v>0</v>
      </c>
      <c r="DP182">
        <v>1</v>
      </c>
      <c r="DQ182">
        <v>1</v>
      </c>
      <c r="DU182">
        <v>1010</v>
      </c>
      <c r="DV182" t="s">
        <v>32</v>
      </c>
      <c r="DW182" t="s">
        <v>32</v>
      </c>
      <c r="DX182">
        <v>1</v>
      </c>
      <c r="DZ182" t="s">
        <v>3</v>
      </c>
      <c r="EA182" t="s">
        <v>3</v>
      </c>
      <c r="EB182" t="s">
        <v>3</v>
      </c>
      <c r="EC182" t="s">
        <v>3</v>
      </c>
      <c r="EE182">
        <v>76282301</v>
      </c>
      <c r="EF182">
        <v>40</v>
      </c>
      <c r="EG182" t="s">
        <v>20</v>
      </c>
      <c r="EH182">
        <v>0</v>
      </c>
      <c r="EI182" t="s">
        <v>3</v>
      </c>
      <c r="EJ182">
        <v>2</v>
      </c>
      <c r="EK182">
        <v>67</v>
      </c>
      <c r="EL182" t="s">
        <v>21</v>
      </c>
      <c r="EM182" t="s">
        <v>22</v>
      </c>
      <c r="EO182" t="s">
        <v>287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FQ182">
        <v>0</v>
      </c>
      <c r="FR182">
        <v>0</v>
      </c>
      <c r="FS182">
        <v>0</v>
      </c>
      <c r="FX182">
        <v>97</v>
      </c>
      <c r="FY182">
        <v>51</v>
      </c>
      <c r="GA182" t="s">
        <v>3</v>
      </c>
      <c r="GD182">
        <v>1</v>
      </c>
      <c r="GF182">
        <v>-684479992</v>
      </c>
      <c r="GG182">
        <v>2</v>
      </c>
      <c r="GH182">
        <v>0</v>
      </c>
      <c r="GI182">
        <v>-2</v>
      </c>
      <c r="GJ182">
        <v>0</v>
      </c>
      <c r="GK182">
        <v>0</v>
      </c>
      <c r="GL182">
        <f t="shared" si="160"/>
        <v>0</v>
      </c>
      <c r="GM182">
        <f t="shared" si="161"/>
        <v>0</v>
      </c>
      <c r="GN182">
        <f t="shared" si="162"/>
        <v>0</v>
      </c>
      <c r="GO182">
        <f t="shared" si="163"/>
        <v>0</v>
      </c>
      <c r="GP182">
        <f t="shared" si="164"/>
        <v>0</v>
      </c>
      <c r="GR182">
        <v>0</v>
      </c>
      <c r="GS182">
        <v>0</v>
      </c>
      <c r="GT182">
        <v>0</v>
      </c>
      <c r="GU182" t="s">
        <v>3</v>
      </c>
      <c r="GV182">
        <f t="shared" si="165"/>
        <v>0</v>
      </c>
      <c r="GW182">
        <v>1</v>
      </c>
      <c r="GX182">
        <f t="shared" si="166"/>
        <v>0</v>
      </c>
      <c r="HA182">
        <v>0</v>
      </c>
      <c r="HB182">
        <v>0</v>
      </c>
      <c r="HC182">
        <f t="shared" si="167"/>
        <v>0</v>
      </c>
      <c r="HE182" t="s">
        <v>3</v>
      </c>
      <c r="HF182" t="s">
        <v>3</v>
      </c>
      <c r="HM182" t="s">
        <v>280</v>
      </c>
      <c r="HN182" t="s">
        <v>3</v>
      </c>
      <c r="HO182" t="s">
        <v>3</v>
      </c>
      <c r="HP182" t="s">
        <v>3</v>
      </c>
      <c r="HQ182" t="s">
        <v>3</v>
      </c>
      <c r="HS182">
        <v>0</v>
      </c>
      <c r="IK182">
        <v>0</v>
      </c>
    </row>
    <row r="183" spans="1:245">
      <c r="A183">
        <v>18</v>
      </c>
      <c r="B183">
        <v>1</v>
      </c>
      <c r="E183" t="s">
        <v>335</v>
      </c>
      <c r="F183" t="s">
        <v>213</v>
      </c>
      <c r="G183" t="s">
        <v>225</v>
      </c>
      <c r="H183" t="s">
        <v>32</v>
      </c>
      <c r="I183">
        <f>I177*J183</f>
        <v>0</v>
      </c>
      <c r="J183">
        <v>0</v>
      </c>
      <c r="K183">
        <v>0</v>
      </c>
      <c r="O183">
        <f t="shared" si="143"/>
        <v>0</v>
      </c>
      <c r="P183">
        <f t="shared" si="144"/>
        <v>0</v>
      </c>
      <c r="Q183">
        <f t="shared" si="174"/>
        <v>0</v>
      </c>
      <c r="R183">
        <f t="shared" si="175"/>
        <v>0</v>
      </c>
      <c r="S183">
        <f t="shared" si="145"/>
        <v>0</v>
      </c>
      <c r="T183">
        <f t="shared" si="146"/>
        <v>0</v>
      </c>
      <c r="U183">
        <f t="shared" si="147"/>
        <v>0</v>
      </c>
      <c r="V183">
        <f t="shared" si="148"/>
        <v>0</v>
      </c>
      <c r="W183">
        <f t="shared" si="149"/>
        <v>0</v>
      </c>
      <c r="X183">
        <f t="shared" si="176"/>
        <v>0</v>
      </c>
      <c r="Y183">
        <f t="shared" si="177"/>
        <v>0</v>
      </c>
      <c r="AA183">
        <v>76282491</v>
      </c>
      <c r="AB183">
        <f t="shared" si="150"/>
        <v>0</v>
      </c>
      <c r="AC183">
        <f t="shared" si="178"/>
        <v>0</v>
      </c>
      <c r="AD183">
        <f t="shared" si="179"/>
        <v>0</v>
      </c>
      <c r="AE183">
        <f t="shared" si="180"/>
        <v>0</v>
      </c>
      <c r="AF183">
        <f t="shared" si="180"/>
        <v>0</v>
      </c>
      <c r="AG183">
        <f t="shared" si="151"/>
        <v>0</v>
      </c>
      <c r="AH183">
        <f t="shared" si="181"/>
        <v>0</v>
      </c>
      <c r="AI183">
        <f t="shared" si="181"/>
        <v>0</v>
      </c>
      <c r="AJ183">
        <f t="shared" si="152"/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97</v>
      </c>
      <c r="AU183">
        <v>51</v>
      </c>
      <c r="AV183">
        <v>1</v>
      </c>
      <c r="AW183">
        <v>1</v>
      </c>
      <c r="AZ183">
        <v>1</v>
      </c>
      <c r="BA183">
        <v>1</v>
      </c>
      <c r="BB183">
        <v>1</v>
      </c>
      <c r="BC183">
        <v>1</v>
      </c>
      <c r="BD183" t="s">
        <v>3</v>
      </c>
      <c r="BE183" t="s">
        <v>3</v>
      </c>
      <c r="BF183" t="s">
        <v>3</v>
      </c>
      <c r="BG183" t="s">
        <v>3</v>
      </c>
      <c r="BH183">
        <v>3</v>
      </c>
      <c r="BI183">
        <v>2</v>
      </c>
      <c r="BJ183" t="s">
        <v>3</v>
      </c>
      <c r="BM183">
        <v>67</v>
      </c>
      <c r="BN183">
        <v>0</v>
      </c>
      <c r="BO183" t="s">
        <v>3</v>
      </c>
      <c r="BP183">
        <v>0</v>
      </c>
      <c r="BQ183">
        <v>40</v>
      </c>
      <c r="BR183">
        <v>0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 t="s">
        <v>3</v>
      </c>
      <c r="BZ183">
        <v>97</v>
      </c>
      <c r="CA183">
        <v>51</v>
      </c>
      <c r="CB183" t="s">
        <v>3</v>
      </c>
      <c r="CE183">
        <v>1566</v>
      </c>
      <c r="CF183">
        <v>0</v>
      </c>
      <c r="CG183">
        <v>0</v>
      </c>
      <c r="CM183">
        <v>0</v>
      </c>
      <c r="CN183" t="s">
        <v>456</v>
      </c>
      <c r="CO183">
        <v>0</v>
      </c>
      <c r="CP183">
        <f t="shared" si="153"/>
        <v>0</v>
      </c>
      <c r="CQ183">
        <f t="shared" si="154"/>
        <v>0</v>
      </c>
      <c r="CR183">
        <f t="shared" si="182"/>
        <v>0</v>
      </c>
      <c r="CS183">
        <f t="shared" si="183"/>
        <v>0</v>
      </c>
      <c r="CT183">
        <f t="shared" si="155"/>
        <v>0</v>
      </c>
      <c r="CU183">
        <f t="shared" si="156"/>
        <v>0</v>
      </c>
      <c r="CV183">
        <f t="shared" si="157"/>
        <v>0</v>
      </c>
      <c r="CW183">
        <f t="shared" si="158"/>
        <v>0</v>
      </c>
      <c r="CX183">
        <f t="shared" si="159"/>
        <v>0</v>
      </c>
      <c r="CY183">
        <f t="shared" si="184"/>
        <v>0</v>
      </c>
      <c r="CZ183">
        <f t="shared" si="185"/>
        <v>0</v>
      </c>
      <c r="DC183" t="s">
        <v>3</v>
      </c>
      <c r="DD183" t="s">
        <v>3</v>
      </c>
      <c r="DE183" t="s">
        <v>3</v>
      </c>
      <c r="DF183" t="s">
        <v>3</v>
      </c>
      <c r="DG183" t="s">
        <v>3</v>
      </c>
      <c r="DH183" t="s">
        <v>3</v>
      </c>
      <c r="DI183" t="s">
        <v>3</v>
      </c>
      <c r="DJ183" t="s">
        <v>3</v>
      </c>
      <c r="DK183" t="s">
        <v>3</v>
      </c>
      <c r="DL183" t="s">
        <v>3</v>
      </c>
      <c r="DM183" t="s">
        <v>3</v>
      </c>
      <c r="DN183">
        <v>0</v>
      </c>
      <c r="DO183">
        <v>0</v>
      </c>
      <c r="DP183">
        <v>1</v>
      </c>
      <c r="DQ183">
        <v>1</v>
      </c>
      <c r="DU183">
        <v>1010</v>
      </c>
      <c r="DV183" t="s">
        <v>32</v>
      </c>
      <c r="DW183" t="s">
        <v>32</v>
      </c>
      <c r="DX183">
        <v>1</v>
      </c>
      <c r="DZ183" t="s">
        <v>3</v>
      </c>
      <c r="EA183" t="s">
        <v>3</v>
      </c>
      <c r="EB183" t="s">
        <v>3</v>
      </c>
      <c r="EC183" t="s">
        <v>3</v>
      </c>
      <c r="EE183">
        <v>76282301</v>
      </c>
      <c r="EF183">
        <v>40</v>
      </c>
      <c r="EG183" t="s">
        <v>20</v>
      </c>
      <c r="EH183">
        <v>0</v>
      </c>
      <c r="EI183" t="s">
        <v>3</v>
      </c>
      <c r="EJ183">
        <v>2</v>
      </c>
      <c r="EK183">
        <v>67</v>
      </c>
      <c r="EL183" t="s">
        <v>21</v>
      </c>
      <c r="EM183" t="s">
        <v>22</v>
      </c>
      <c r="EO183" t="s">
        <v>287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FQ183">
        <v>0</v>
      </c>
      <c r="FR183">
        <v>0</v>
      </c>
      <c r="FS183">
        <v>0</v>
      </c>
      <c r="FX183">
        <v>97</v>
      </c>
      <c r="FY183">
        <v>51</v>
      </c>
      <c r="GA183" t="s">
        <v>3</v>
      </c>
      <c r="GD183">
        <v>1</v>
      </c>
      <c r="GF183">
        <v>-1687310285</v>
      </c>
      <c r="GG183">
        <v>2</v>
      </c>
      <c r="GH183">
        <v>0</v>
      </c>
      <c r="GI183">
        <v>-2</v>
      </c>
      <c r="GJ183">
        <v>0</v>
      </c>
      <c r="GK183">
        <v>0</v>
      </c>
      <c r="GL183">
        <f t="shared" si="160"/>
        <v>0</v>
      </c>
      <c r="GM183">
        <f t="shared" si="161"/>
        <v>0</v>
      </c>
      <c r="GN183">
        <f t="shared" si="162"/>
        <v>0</v>
      </c>
      <c r="GO183">
        <f t="shared" si="163"/>
        <v>0</v>
      </c>
      <c r="GP183">
        <f t="shared" si="164"/>
        <v>0</v>
      </c>
      <c r="GR183">
        <v>0</v>
      </c>
      <c r="GS183">
        <v>0</v>
      </c>
      <c r="GT183">
        <v>0</v>
      </c>
      <c r="GU183" t="s">
        <v>3</v>
      </c>
      <c r="GV183">
        <f t="shared" si="165"/>
        <v>0</v>
      </c>
      <c r="GW183">
        <v>1</v>
      </c>
      <c r="GX183">
        <f t="shared" si="166"/>
        <v>0</v>
      </c>
      <c r="HA183">
        <v>0</v>
      </c>
      <c r="HB183">
        <v>0</v>
      </c>
      <c r="HC183">
        <f t="shared" si="167"/>
        <v>0</v>
      </c>
      <c r="HE183" t="s">
        <v>3</v>
      </c>
      <c r="HF183" t="s">
        <v>3</v>
      </c>
      <c r="HM183" t="s">
        <v>280</v>
      </c>
      <c r="HN183" t="s">
        <v>3</v>
      </c>
      <c r="HO183" t="s">
        <v>3</v>
      </c>
      <c r="HP183" t="s">
        <v>3</v>
      </c>
      <c r="HQ183" t="s">
        <v>3</v>
      </c>
      <c r="HS183">
        <v>0</v>
      </c>
      <c r="IK183">
        <v>0</v>
      </c>
    </row>
    <row r="184" spans="1:245">
      <c r="A184">
        <v>18</v>
      </c>
      <c r="B184">
        <v>1</v>
      </c>
      <c r="E184" t="s">
        <v>336</v>
      </c>
      <c r="F184" t="s">
        <v>213</v>
      </c>
      <c r="G184" t="s">
        <v>227</v>
      </c>
      <c r="H184" t="s">
        <v>32</v>
      </c>
      <c r="I184">
        <f>I177*J184</f>
        <v>0</v>
      </c>
      <c r="J184">
        <v>0</v>
      </c>
      <c r="K184">
        <v>0</v>
      </c>
      <c r="O184">
        <f t="shared" si="143"/>
        <v>0</v>
      </c>
      <c r="P184">
        <f t="shared" si="144"/>
        <v>0</v>
      </c>
      <c r="Q184">
        <f t="shared" si="174"/>
        <v>0</v>
      </c>
      <c r="R184">
        <f t="shared" si="175"/>
        <v>0</v>
      </c>
      <c r="S184">
        <f t="shared" si="145"/>
        <v>0</v>
      </c>
      <c r="T184">
        <f t="shared" si="146"/>
        <v>0</v>
      </c>
      <c r="U184">
        <f t="shared" si="147"/>
        <v>0</v>
      </c>
      <c r="V184">
        <f t="shared" si="148"/>
        <v>0</v>
      </c>
      <c r="W184">
        <f t="shared" si="149"/>
        <v>0</v>
      </c>
      <c r="X184">
        <f t="shared" si="176"/>
        <v>0</v>
      </c>
      <c r="Y184">
        <f t="shared" si="177"/>
        <v>0</v>
      </c>
      <c r="AA184">
        <v>76282491</v>
      </c>
      <c r="AB184">
        <f t="shared" si="150"/>
        <v>0</v>
      </c>
      <c r="AC184">
        <f t="shared" si="178"/>
        <v>0</v>
      </c>
      <c r="AD184">
        <f t="shared" si="179"/>
        <v>0</v>
      </c>
      <c r="AE184">
        <f t="shared" si="180"/>
        <v>0</v>
      </c>
      <c r="AF184">
        <f t="shared" si="180"/>
        <v>0</v>
      </c>
      <c r="AG184">
        <f t="shared" si="151"/>
        <v>0</v>
      </c>
      <c r="AH184">
        <f t="shared" si="181"/>
        <v>0</v>
      </c>
      <c r="AI184">
        <f t="shared" si="181"/>
        <v>0</v>
      </c>
      <c r="AJ184">
        <f t="shared" si="152"/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97</v>
      </c>
      <c r="AU184">
        <v>51</v>
      </c>
      <c r="AV184">
        <v>1</v>
      </c>
      <c r="AW184">
        <v>1</v>
      </c>
      <c r="AZ184">
        <v>1</v>
      </c>
      <c r="BA184">
        <v>1</v>
      </c>
      <c r="BB184">
        <v>1</v>
      </c>
      <c r="BC184">
        <v>1</v>
      </c>
      <c r="BD184" t="s">
        <v>3</v>
      </c>
      <c r="BE184" t="s">
        <v>3</v>
      </c>
      <c r="BF184" t="s">
        <v>3</v>
      </c>
      <c r="BG184" t="s">
        <v>3</v>
      </c>
      <c r="BH184">
        <v>3</v>
      </c>
      <c r="BI184">
        <v>2</v>
      </c>
      <c r="BJ184" t="s">
        <v>3</v>
      </c>
      <c r="BM184">
        <v>67</v>
      </c>
      <c r="BN184">
        <v>0</v>
      </c>
      <c r="BO184" t="s">
        <v>3</v>
      </c>
      <c r="BP184">
        <v>0</v>
      </c>
      <c r="BQ184">
        <v>40</v>
      </c>
      <c r="BR184">
        <v>0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 t="s">
        <v>3</v>
      </c>
      <c r="BZ184">
        <v>97</v>
      </c>
      <c r="CA184">
        <v>51</v>
      </c>
      <c r="CB184" t="s">
        <v>3</v>
      </c>
      <c r="CE184">
        <v>1566</v>
      </c>
      <c r="CF184">
        <v>0</v>
      </c>
      <c r="CG184">
        <v>0</v>
      </c>
      <c r="CM184">
        <v>0</v>
      </c>
      <c r="CN184" t="s">
        <v>456</v>
      </c>
      <c r="CO184">
        <v>0</v>
      </c>
      <c r="CP184">
        <f t="shared" si="153"/>
        <v>0</v>
      </c>
      <c r="CQ184">
        <f t="shared" si="154"/>
        <v>0</v>
      </c>
      <c r="CR184">
        <f t="shared" si="182"/>
        <v>0</v>
      </c>
      <c r="CS184">
        <f t="shared" si="183"/>
        <v>0</v>
      </c>
      <c r="CT184">
        <f t="shared" si="155"/>
        <v>0</v>
      </c>
      <c r="CU184">
        <f t="shared" si="156"/>
        <v>0</v>
      </c>
      <c r="CV184">
        <f t="shared" si="157"/>
        <v>0</v>
      </c>
      <c r="CW184">
        <f t="shared" si="158"/>
        <v>0</v>
      </c>
      <c r="CX184">
        <f t="shared" si="159"/>
        <v>0</v>
      </c>
      <c r="CY184">
        <f t="shared" si="184"/>
        <v>0</v>
      </c>
      <c r="CZ184">
        <f t="shared" si="185"/>
        <v>0</v>
      </c>
      <c r="DC184" t="s">
        <v>3</v>
      </c>
      <c r="DD184" t="s">
        <v>3</v>
      </c>
      <c r="DE184" t="s">
        <v>3</v>
      </c>
      <c r="DF184" t="s">
        <v>3</v>
      </c>
      <c r="DG184" t="s">
        <v>3</v>
      </c>
      <c r="DH184" t="s">
        <v>3</v>
      </c>
      <c r="DI184" t="s">
        <v>3</v>
      </c>
      <c r="DJ184" t="s">
        <v>3</v>
      </c>
      <c r="DK184" t="s">
        <v>3</v>
      </c>
      <c r="DL184" t="s">
        <v>3</v>
      </c>
      <c r="DM184" t="s">
        <v>3</v>
      </c>
      <c r="DN184">
        <v>0</v>
      </c>
      <c r="DO184">
        <v>0</v>
      </c>
      <c r="DP184">
        <v>1</v>
      </c>
      <c r="DQ184">
        <v>1</v>
      </c>
      <c r="DU184">
        <v>1010</v>
      </c>
      <c r="DV184" t="s">
        <v>32</v>
      </c>
      <c r="DW184" t="s">
        <v>32</v>
      </c>
      <c r="DX184">
        <v>1</v>
      </c>
      <c r="DZ184" t="s">
        <v>3</v>
      </c>
      <c r="EA184" t="s">
        <v>3</v>
      </c>
      <c r="EB184" t="s">
        <v>3</v>
      </c>
      <c r="EC184" t="s">
        <v>3</v>
      </c>
      <c r="EE184">
        <v>76282301</v>
      </c>
      <c r="EF184">
        <v>40</v>
      </c>
      <c r="EG184" t="s">
        <v>20</v>
      </c>
      <c r="EH184">
        <v>0</v>
      </c>
      <c r="EI184" t="s">
        <v>3</v>
      </c>
      <c r="EJ184">
        <v>2</v>
      </c>
      <c r="EK184">
        <v>67</v>
      </c>
      <c r="EL184" t="s">
        <v>21</v>
      </c>
      <c r="EM184" t="s">
        <v>22</v>
      </c>
      <c r="EO184" t="s">
        <v>287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FQ184">
        <v>0</v>
      </c>
      <c r="FR184">
        <v>0</v>
      </c>
      <c r="FS184">
        <v>0</v>
      </c>
      <c r="FX184">
        <v>97</v>
      </c>
      <c r="FY184">
        <v>51</v>
      </c>
      <c r="GA184" t="s">
        <v>3</v>
      </c>
      <c r="GD184">
        <v>1</v>
      </c>
      <c r="GF184">
        <v>567933265</v>
      </c>
      <c r="GG184">
        <v>2</v>
      </c>
      <c r="GH184">
        <v>0</v>
      </c>
      <c r="GI184">
        <v>-2</v>
      </c>
      <c r="GJ184">
        <v>0</v>
      </c>
      <c r="GK184">
        <v>0</v>
      </c>
      <c r="GL184">
        <f t="shared" si="160"/>
        <v>0</v>
      </c>
      <c r="GM184">
        <f t="shared" si="161"/>
        <v>0</v>
      </c>
      <c r="GN184">
        <f t="shared" si="162"/>
        <v>0</v>
      </c>
      <c r="GO184">
        <f t="shared" si="163"/>
        <v>0</v>
      </c>
      <c r="GP184">
        <f t="shared" si="164"/>
        <v>0</v>
      </c>
      <c r="GR184">
        <v>0</v>
      </c>
      <c r="GS184">
        <v>0</v>
      </c>
      <c r="GT184">
        <v>0</v>
      </c>
      <c r="GU184" t="s">
        <v>3</v>
      </c>
      <c r="GV184">
        <f t="shared" si="165"/>
        <v>0</v>
      </c>
      <c r="GW184">
        <v>1</v>
      </c>
      <c r="GX184">
        <f t="shared" si="166"/>
        <v>0</v>
      </c>
      <c r="HA184">
        <v>0</v>
      </c>
      <c r="HB184">
        <v>0</v>
      </c>
      <c r="HC184">
        <f t="shared" si="167"/>
        <v>0</v>
      </c>
      <c r="HE184" t="s">
        <v>3</v>
      </c>
      <c r="HF184" t="s">
        <v>3</v>
      </c>
      <c r="HM184" t="s">
        <v>280</v>
      </c>
      <c r="HN184" t="s">
        <v>3</v>
      </c>
      <c r="HO184" t="s">
        <v>3</v>
      </c>
      <c r="HP184" t="s">
        <v>3</v>
      </c>
      <c r="HQ184" t="s">
        <v>3</v>
      </c>
      <c r="HS184">
        <v>0</v>
      </c>
      <c r="IK184">
        <v>0</v>
      </c>
    </row>
    <row r="185" spans="1:245">
      <c r="A185">
        <v>17</v>
      </c>
      <c r="B185">
        <v>1</v>
      </c>
      <c r="E185" t="s">
        <v>337</v>
      </c>
      <c r="F185" t="s">
        <v>236</v>
      </c>
      <c r="G185" t="s">
        <v>237</v>
      </c>
      <c r="H185" t="s">
        <v>210</v>
      </c>
      <c r="I185">
        <f>ROUND(25/100,9)</f>
        <v>0.25</v>
      </c>
      <c r="J185">
        <v>0</v>
      </c>
      <c r="K185">
        <f>ROUND(25/100,9)</f>
        <v>0.25</v>
      </c>
      <c r="O185">
        <f t="shared" si="143"/>
        <v>1134.94</v>
      </c>
      <c r="P185">
        <f t="shared" si="144"/>
        <v>197.83</v>
      </c>
      <c r="Q185">
        <f>(ROUND((ROUND(((((ET185*1.2)*1))*AV185*I185),2)*BB185),2)+ROUND((ROUND(((AE185-(((EU185*1.2)*1)))*AV185*I185),2)*BS185),2))</f>
        <v>13.53</v>
      </c>
      <c r="R185">
        <f>(ROUND((ROUND(((((EU185*1.2)*1))*AV185*I185),2)*BS185),2)+ROUND((ROUND(((AE185-(((EU185*1.2)*1)))*AV185*I185),2)*BS185),2))</f>
        <v>6.35</v>
      </c>
      <c r="S185">
        <f t="shared" si="145"/>
        <v>923.58</v>
      </c>
      <c r="T185">
        <f t="shared" si="146"/>
        <v>0</v>
      </c>
      <c r="U185">
        <f t="shared" si="147"/>
        <v>1.2978000000000001</v>
      </c>
      <c r="V185">
        <f t="shared" si="148"/>
        <v>0</v>
      </c>
      <c r="W185">
        <f t="shared" si="149"/>
        <v>0</v>
      </c>
      <c r="X185">
        <f>(ROUND((((S185+ROUND((ROUND(((((EU185*1.2)*1))*AV185*I185),2)*BS185),2))*AT185)/100),2)+ROUND(((ROUND((ROUND(((AE185-(((EU185*1.2)*1)))*AV185*I185),2)*BS185),2)*AT185)/100),2))</f>
        <v>902.03</v>
      </c>
      <c r="Y185">
        <f>(ROUND((((S185+ROUND((ROUND(((((EU185*1.2)*1))*AV185*I185),2)*BS185),2))*AU185)/100),2)+ROUND(((ROUND((ROUND(((AE185-(((EU185*1.2)*1)))*AV185*I185),2)*BS185),2)*AU185)/100),2))</f>
        <v>474.26</v>
      </c>
      <c r="AA185">
        <v>76282491</v>
      </c>
      <c r="AB185">
        <f t="shared" si="150"/>
        <v>169.18559999999999</v>
      </c>
      <c r="AC185">
        <f>ROUND((((ES185*1)*1)),6)</f>
        <v>102.24</v>
      </c>
      <c r="AD185">
        <f>ROUND((((((ET185*1.2)*1))-(((EU185*1.2)*1)))+AE185),6)</f>
        <v>2.988</v>
      </c>
      <c r="AE185">
        <f>ROUND((((EU185*1.2)*1)),6)</f>
        <v>0.45600000000000002</v>
      </c>
      <c r="AF185">
        <f>ROUND((((EV185*1.2)*1.05)),6)</f>
        <v>63.957599999999999</v>
      </c>
      <c r="AG185">
        <f t="shared" si="151"/>
        <v>0</v>
      </c>
      <c r="AH185">
        <f>(((EW185*1.2)*1.05))</f>
        <v>5.1912000000000003</v>
      </c>
      <c r="AI185">
        <f>(((EX185*1.2)*1))</f>
        <v>0</v>
      </c>
      <c r="AJ185">
        <f t="shared" si="152"/>
        <v>0</v>
      </c>
      <c r="AK185">
        <v>155.49</v>
      </c>
      <c r="AL185">
        <v>102.24</v>
      </c>
      <c r="AM185">
        <v>2.4900000000000002</v>
      </c>
      <c r="AN185">
        <v>0.38</v>
      </c>
      <c r="AO185">
        <v>50.76</v>
      </c>
      <c r="AP185">
        <v>0</v>
      </c>
      <c r="AQ185">
        <v>4.12</v>
      </c>
      <c r="AR185">
        <v>0</v>
      </c>
      <c r="AS185">
        <v>0</v>
      </c>
      <c r="AT185">
        <v>97</v>
      </c>
      <c r="AU185">
        <v>51</v>
      </c>
      <c r="AV185">
        <v>1</v>
      </c>
      <c r="AW185">
        <v>1</v>
      </c>
      <c r="AZ185">
        <v>1</v>
      </c>
      <c r="BA185">
        <v>57.76</v>
      </c>
      <c r="BB185">
        <v>18.04</v>
      </c>
      <c r="BC185">
        <v>7.74</v>
      </c>
      <c r="BD185" t="s">
        <v>3</v>
      </c>
      <c r="BE185" t="s">
        <v>3</v>
      </c>
      <c r="BF185" t="s">
        <v>3</v>
      </c>
      <c r="BG185" t="s">
        <v>3</v>
      </c>
      <c r="BH185">
        <v>0</v>
      </c>
      <c r="BI185">
        <v>2</v>
      </c>
      <c r="BJ185" t="s">
        <v>238</v>
      </c>
      <c r="BM185">
        <v>67</v>
      </c>
      <c r="BN185">
        <v>0</v>
      </c>
      <c r="BO185" t="s">
        <v>236</v>
      </c>
      <c r="BP185">
        <v>1</v>
      </c>
      <c r="BQ185">
        <v>40</v>
      </c>
      <c r="BR185">
        <v>0</v>
      </c>
      <c r="BS185">
        <v>57.76</v>
      </c>
      <c r="BT185">
        <v>1</v>
      </c>
      <c r="BU185">
        <v>1</v>
      </c>
      <c r="BV185">
        <v>1</v>
      </c>
      <c r="BW185">
        <v>1</v>
      </c>
      <c r="BX185">
        <v>1</v>
      </c>
      <c r="BY185" t="s">
        <v>3</v>
      </c>
      <c r="BZ185">
        <v>97</v>
      </c>
      <c r="CA185">
        <v>51</v>
      </c>
      <c r="CB185" t="s">
        <v>3</v>
      </c>
      <c r="CE185">
        <v>1566</v>
      </c>
      <c r="CF185">
        <v>0</v>
      </c>
      <c r="CG185">
        <v>0</v>
      </c>
      <c r="CM185">
        <v>0</v>
      </c>
      <c r="CN185" t="s">
        <v>455</v>
      </c>
      <c r="CO185">
        <v>0</v>
      </c>
      <c r="CP185">
        <f t="shared" si="153"/>
        <v>1134.94</v>
      </c>
      <c r="CQ185">
        <f t="shared" si="154"/>
        <v>791.34</v>
      </c>
      <c r="CR185">
        <f>(ROUND((ROUND(((((ET185*1.2)*1))*AV185*1),2)*BB185),2)+ROUND((ROUND(((AE185-(((EU185*1.2)*1)))*AV185*1),2)*BS185),2))</f>
        <v>53.94</v>
      </c>
      <c r="CS185">
        <f>(ROUND((ROUND(((((EU185*1.2)*1))*AV185*1),2)*BS185),2)+ROUND((ROUND(((AE185-(((EU185*1.2)*1)))*AV185*1),2)*BS185),2))</f>
        <v>26.57</v>
      </c>
      <c r="CT185">
        <f t="shared" si="155"/>
        <v>3694.33</v>
      </c>
      <c r="CU185">
        <f t="shared" si="156"/>
        <v>0</v>
      </c>
      <c r="CV185">
        <f t="shared" si="157"/>
        <v>5.1912000000000003</v>
      </c>
      <c r="CW185">
        <f t="shared" si="158"/>
        <v>0</v>
      </c>
      <c r="CX185">
        <f t="shared" si="159"/>
        <v>0</v>
      </c>
      <c r="CY185">
        <f>(ROUND((((S185+ROUND((ROUND(((((EU185*1.2)*1))*AV185*1),2)*BS185),2))*AT185)/100),2)+ROUND(((ROUND((ROUND(((AE185-(((EU185*1.2)*1)))*AV185*1),2)*BS185),2)*AT185)/100),2))</f>
        <v>921.65</v>
      </c>
      <c r="CZ185">
        <f>(ROUND((((S185+ROUND((ROUND(((((EU185*1.2)*1))*AV185*1),2)*BS185),2))*AU185)/100),2)+ROUND(((ROUND((ROUND(((AE185-(((EU185*1.2)*1)))*AV185*1),2)*BS185),2)*AU185)/100),2))</f>
        <v>484.58</v>
      </c>
      <c r="DB185">
        <v>21</v>
      </c>
      <c r="DC185" t="s">
        <v>3</v>
      </c>
      <c r="DD185" t="s">
        <v>280</v>
      </c>
      <c r="DE185" t="s">
        <v>281</v>
      </c>
      <c r="DF185" t="s">
        <v>281</v>
      </c>
      <c r="DG185" t="s">
        <v>282</v>
      </c>
      <c r="DH185" t="s">
        <v>3</v>
      </c>
      <c r="DI185" t="s">
        <v>282</v>
      </c>
      <c r="DJ185" t="s">
        <v>281</v>
      </c>
      <c r="DK185" t="s">
        <v>3</v>
      </c>
      <c r="DL185" t="s">
        <v>3</v>
      </c>
      <c r="DM185" t="s">
        <v>3</v>
      </c>
      <c r="DN185">
        <v>0</v>
      </c>
      <c r="DO185">
        <v>0</v>
      </c>
      <c r="DP185">
        <v>1</v>
      </c>
      <c r="DQ185">
        <v>1</v>
      </c>
      <c r="DU185">
        <v>1003</v>
      </c>
      <c r="DV185" t="s">
        <v>210</v>
      </c>
      <c r="DW185" t="s">
        <v>210</v>
      </c>
      <c r="DX185">
        <v>100</v>
      </c>
      <c r="DZ185" t="s">
        <v>3</v>
      </c>
      <c r="EA185" t="s">
        <v>3</v>
      </c>
      <c r="EB185" t="s">
        <v>3</v>
      </c>
      <c r="EC185" t="s">
        <v>3</v>
      </c>
      <c r="EE185">
        <v>76282301</v>
      </c>
      <c r="EF185">
        <v>40</v>
      </c>
      <c r="EG185" t="s">
        <v>20</v>
      </c>
      <c r="EH185">
        <v>0</v>
      </c>
      <c r="EI185" t="s">
        <v>3</v>
      </c>
      <c r="EJ185">
        <v>2</v>
      </c>
      <c r="EK185">
        <v>67</v>
      </c>
      <c r="EL185" t="s">
        <v>21</v>
      </c>
      <c r="EM185" t="s">
        <v>22</v>
      </c>
      <c r="EO185" t="s">
        <v>283</v>
      </c>
      <c r="EQ185">
        <v>131072</v>
      </c>
      <c r="ER185">
        <v>155.49</v>
      </c>
      <c r="ES185">
        <v>102.24</v>
      </c>
      <c r="ET185">
        <v>2.4900000000000002</v>
      </c>
      <c r="EU185">
        <v>0.38</v>
      </c>
      <c r="EV185">
        <v>50.76</v>
      </c>
      <c r="EW185">
        <v>4.12</v>
      </c>
      <c r="EX185">
        <v>0</v>
      </c>
      <c r="EY185">
        <v>0</v>
      </c>
      <c r="FQ185">
        <v>0</v>
      </c>
      <c r="FR185">
        <v>0</v>
      </c>
      <c r="FS185">
        <v>0</v>
      </c>
      <c r="FX185">
        <v>97</v>
      </c>
      <c r="FY185">
        <v>51</v>
      </c>
      <c r="GA185" t="s">
        <v>3</v>
      </c>
      <c r="GD185">
        <v>1</v>
      </c>
      <c r="GF185">
        <v>-698950062</v>
      </c>
      <c r="GG185">
        <v>2</v>
      </c>
      <c r="GH185">
        <v>0</v>
      </c>
      <c r="GI185">
        <v>2</v>
      </c>
      <c r="GJ185">
        <v>0</v>
      </c>
      <c r="GK185">
        <v>0</v>
      </c>
      <c r="GL185">
        <f t="shared" si="160"/>
        <v>0</v>
      </c>
      <c r="GM185">
        <f t="shared" si="161"/>
        <v>2511.23</v>
      </c>
      <c r="GN185">
        <f t="shared" si="162"/>
        <v>0</v>
      </c>
      <c r="GO185">
        <f t="shared" si="163"/>
        <v>2511.23</v>
      </c>
      <c r="GP185">
        <f t="shared" si="164"/>
        <v>0</v>
      </c>
      <c r="GR185">
        <v>0</v>
      </c>
      <c r="GS185">
        <v>7</v>
      </c>
      <c r="GT185">
        <v>0</v>
      </c>
      <c r="GU185" t="s">
        <v>3</v>
      </c>
      <c r="GV185">
        <f t="shared" si="165"/>
        <v>0</v>
      </c>
      <c r="GW185">
        <v>1</v>
      </c>
      <c r="GX185">
        <f t="shared" si="166"/>
        <v>0</v>
      </c>
      <c r="HA185">
        <v>0</v>
      </c>
      <c r="HB185">
        <v>0</v>
      </c>
      <c r="HC185">
        <f t="shared" si="167"/>
        <v>0</v>
      </c>
      <c r="HE185" t="s">
        <v>3</v>
      </c>
      <c r="HF185" t="s">
        <v>3</v>
      </c>
      <c r="HM185" t="s">
        <v>3</v>
      </c>
      <c r="HN185" t="s">
        <v>3</v>
      </c>
      <c r="HO185" t="s">
        <v>3</v>
      </c>
      <c r="HP185" t="s">
        <v>3</v>
      </c>
      <c r="HQ185" t="s">
        <v>3</v>
      </c>
      <c r="HS185">
        <v>0</v>
      </c>
      <c r="IK185">
        <v>0</v>
      </c>
    </row>
    <row r="186" spans="1:245">
      <c r="A186">
        <v>18</v>
      </c>
      <c r="B186">
        <v>1</v>
      </c>
      <c r="E186" t="s">
        <v>338</v>
      </c>
      <c r="F186" t="s">
        <v>240</v>
      </c>
      <c r="G186" t="s">
        <v>241</v>
      </c>
      <c r="H186" t="s">
        <v>242</v>
      </c>
      <c r="I186">
        <f>I185*J186</f>
        <v>2.5499999999999998E-2</v>
      </c>
      <c r="J186">
        <v>0.10199999999999999</v>
      </c>
      <c r="K186">
        <v>0.10199999999999999</v>
      </c>
      <c r="O186">
        <f t="shared" si="143"/>
        <v>0</v>
      </c>
      <c r="P186">
        <f t="shared" si="144"/>
        <v>0</v>
      </c>
      <c r="Q186">
        <f>(ROUND((ROUND(((ET186)*AV186*I186),2)*BB186),2)+ROUND((ROUND(((AE186-(EU186))*AV186*I186),2)*BS186),2))</f>
        <v>0</v>
      </c>
      <c r="R186">
        <f>(ROUND((ROUND(((EU186)*AV186*I186),2)*BS186),2)+ROUND((ROUND(((AE186-(EU186))*AV186*I186),2)*BS186),2))</f>
        <v>0</v>
      </c>
      <c r="S186">
        <f t="shared" si="145"/>
        <v>0</v>
      </c>
      <c r="T186">
        <f t="shared" si="146"/>
        <v>0</v>
      </c>
      <c r="U186">
        <f t="shared" si="147"/>
        <v>0</v>
      </c>
      <c r="V186">
        <f t="shared" si="148"/>
        <v>0</v>
      </c>
      <c r="W186">
        <f t="shared" si="149"/>
        <v>0</v>
      </c>
      <c r="X186">
        <f>(ROUND((((S186+ROUND((ROUND(((EU186)*AV186*I186),2)*BS186),2))*AT186)/100),2)+ROUND(((ROUND((ROUND(((AE186-(EU186))*AV186*I186),2)*BS186),2)*AT186)/100),2))</f>
        <v>0</v>
      </c>
      <c r="Y186">
        <f>(ROUND((((S186+ROUND((ROUND(((EU186)*AV186*I186),2)*BS186),2))*AU186)/100),2)+ROUND(((ROUND((ROUND(((AE186-(EU186))*AV186*I186),2)*BS186),2)*AU186)/100),2))</f>
        <v>0</v>
      </c>
      <c r="AA186">
        <v>76282491</v>
      </c>
      <c r="AB186">
        <f t="shared" si="150"/>
        <v>0</v>
      </c>
      <c r="AC186">
        <f>ROUND((ES186),6)</f>
        <v>0</v>
      </c>
      <c r="AD186">
        <f>ROUND((((ET186)-(EU186))+AE186),6)</f>
        <v>0</v>
      </c>
      <c r="AE186">
        <f>ROUND((EU186),6)</f>
        <v>0</v>
      </c>
      <c r="AF186">
        <f>ROUND((EV186),6)</f>
        <v>0</v>
      </c>
      <c r="AG186">
        <f t="shared" si="151"/>
        <v>0</v>
      </c>
      <c r="AH186">
        <f>(EW186)</f>
        <v>0</v>
      </c>
      <c r="AI186">
        <f>(EX186)</f>
        <v>0</v>
      </c>
      <c r="AJ186">
        <f t="shared" si="152"/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97</v>
      </c>
      <c r="AU186">
        <v>51</v>
      </c>
      <c r="AV186">
        <v>1</v>
      </c>
      <c r="AW186">
        <v>1</v>
      </c>
      <c r="AZ186">
        <v>1</v>
      </c>
      <c r="BA186">
        <v>1</v>
      </c>
      <c r="BB186">
        <v>1</v>
      </c>
      <c r="BC186">
        <v>1</v>
      </c>
      <c r="BD186" t="s">
        <v>3</v>
      </c>
      <c r="BE186" t="s">
        <v>3</v>
      </c>
      <c r="BF186" t="s">
        <v>3</v>
      </c>
      <c r="BG186" t="s">
        <v>3</v>
      </c>
      <c r="BH186">
        <v>3</v>
      </c>
      <c r="BI186">
        <v>2</v>
      </c>
      <c r="BJ186" t="s">
        <v>3</v>
      </c>
      <c r="BM186">
        <v>67</v>
      </c>
      <c r="BN186">
        <v>0</v>
      </c>
      <c r="BO186" t="s">
        <v>3</v>
      </c>
      <c r="BP186">
        <v>0</v>
      </c>
      <c r="BQ186">
        <v>40</v>
      </c>
      <c r="BR186">
        <v>0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 t="s">
        <v>3</v>
      </c>
      <c r="BZ186">
        <v>97</v>
      </c>
      <c r="CA186">
        <v>51</v>
      </c>
      <c r="CB186" t="s">
        <v>3</v>
      </c>
      <c r="CE186">
        <v>1566</v>
      </c>
      <c r="CF186">
        <v>0</v>
      </c>
      <c r="CG186">
        <v>0</v>
      </c>
      <c r="CM186">
        <v>0</v>
      </c>
      <c r="CN186" t="s">
        <v>456</v>
      </c>
      <c r="CO186">
        <v>0</v>
      </c>
      <c r="CP186">
        <f t="shared" si="153"/>
        <v>0</v>
      </c>
      <c r="CQ186">
        <f t="shared" si="154"/>
        <v>0</v>
      </c>
      <c r="CR186">
        <f>(ROUND((ROUND(((ET186)*AV186*1),2)*BB186),2)+ROUND((ROUND(((AE186-(EU186))*AV186*1),2)*BS186),2))</f>
        <v>0</v>
      </c>
      <c r="CS186">
        <f>(ROUND((ROUND(((EU186)*AV186*1),2)*BS186),2)+ROUND((ROUND(((AE186-(EU186))*AV186*1),2)*BS186),2))</f>
        <v>0</v>
      </c>
      <c r="CT186">
        <f t="shared" si="155"/>
        <v>0</v>
      </c>
      <c r="CU186">
        <f t="shared" si="156"/>
        <v>0</v>
      </c>
      <c r="CV186">
        <f t="shared" si="157"/>
        <v>0</v>
      </c>
      <c r="CW186">
        <f t="shared" si="158"/>
        <v>0</v>
      </c>
      <c r="CX186">
        <f t="shared" si="159"/>
        <v>0</v>
      </c>
      <c r="CY186">
        <f>(ROUND((((S186+ROUND((ROUND(((EU186)*AV186*1),2)*BS186),2))*AT186)/100),2)+ROUND(((ROUND((ROUND(((AE186-(EU186))*AV186*1),2)*BS186),2)*AT186)/100),2))</f>
        <v>0</v>
      </c>
      <c r="CZ186">
        <f>(ROUND((((S186+ROUND((ROUND(((EU186)*AV186*1),2)*BS186),2))*AU186)/100),2)+ROUND(((ROUND((ROUND(((AE186-(EU186))*AV186*1),2)*BS186),2)*AU186)/100),2))</f>
        <v>0</v>
      </c>
      <c r="DC186" t="s">
        <v>3</v>
      </c>
      <c r="DD186" t="s">
        <v>3</v>
      </c>
      <c r="DE186" t="s">
        <v>3</v>
      </c>
      <c r="DF186" t="s">
        <v>3</v>
      </c>
      <c r="DG186" t="s">
        <v>3</v>
      </c>
      <c r="DH186" t="s">
        <v>3</v>
      </c>
      <c r="DI186" t="s">
        <v>3</v>
      </c>
      <c r="DJ186" t="s">
        <v>3</v>
      </c>
      <c r="DK186" t="s">
        <v>3</v>
      </c>
      <c r="DL186" t="s">
        <v>3</v>
      </c>
      <c r="DM186" t="s">
        <v>3</v>
      </c>
      <c r="DN186">
        <v>0</v>
      </c>
      <c r="DO186">
        <v>0</v>
      </c>
      <c r="DP186">
        <v>1</v>
      </c>
      <c r="DQ186">
        <v>1</v>
      </c>
      <c r="DU186">
        <v>1003</v>
      </c>
      <c r="DV186" t="s">
        <v>242</v>
      </c>
      <c r="DW186" t="s">
        <v>242</v>
      </c>
      <c r="DX186">
        <v>1000</v>
      </c>
      <c r="DZ186" t="s">
        <v>3</v>
      </c>
      <c r="EA186" t="s">
        <v>3</v>
      </c>
      <c r="EB186" t="s">
        <v>3</v>
      </c>
      <c r="EC186" t="s">
        <v>3</v>
      </c>
      <c r="EE186">
        <v>76282301</v>
      </c>
      <c r="EF186">
        <v>40</v>
      </c>
      <c r="EG186" t="s">
        <v>20</v>
      </c>
      <c r="EH186">
        <v>0</v>
      </c>
      <c r="EI186" t="s">
        <v>3</v>
      </c>
      <c r="EJ186">
        <v>2</v>
      </c>
      <c r="EK186">
        <v>67</v>
      </c>
      <c r="EL186" t="s">
        <v>21</v>
      </c>
      <c r="EM186" t="s">
        <v>22</v>
      </c>
      <c r="EO186" t="s">
        <v>287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FQ186">
        <v>0</v>
      </c>
      <c r="FR186">
        <v>0</v>
      </c>
      <c r="FS186">
        <v>0</v>
      </c>
      <c r="FX186">
        <v>97</v>
      </c>
      <c r="FY186">
        <v>51</v>
      </c>
      <c r="GA186" t="s">
        <v>3</v>
      </c>
      <c r="GD186">
        <v>1</v>
      </c>
      <c r="GF186">
        <v>-507544343</v>
      </c>
      <c r="GG186">
        <v>2</v>
      </c>
      <c r="GH186">
        <v>0</v>
      </c>
      <c r="GI186">
        <v>-2</v>
      </c>
      <c r="GJ186">
        <v>0</v>
      </c>
      <c r="GK186">
        <v>0</v>
      </c>
      <c r="GL186">
        <f t="shared" si="160"/>
        <v>0</v>
      </c>
      <c r="GM186">
        <f t="shared" si="161"/>
        <v>0</v>
      </c>
      <c r="GN186">
        <f t="shared" si="162"/>
        <v>0</v>
      </c>
      <c r="GO186">
        <f t="shared" si="163"/>
        <v>0</v>
      </c>
      <c r="GP186">
        <f t="shared" si="164"/>
        <v>0</v>
      </c>
      <c r="GR186">
        <v>0</v>
      </c>
      <c r="GS186">
        <v>0</v>
      </c>
      <c r="GT186">
        <v>0</v>
      </c>
      <c r="GU186" t="s">
        <v>3</v>
      </c>
      <c r="GV186">
        <f t="shared" si="165"/>
        <v>0</v>
      </c>
      <c r="GW186">
        <v>1</v>
      </c>
      <c r="GX186">
        <f t="shared" si="166"/>
        <v>0</v>
      </c>
      <c r="HA186">
        <v>0</v>
      </c>
      <c r="HB186">
        <v>0</v>
      </c>
      <c r="HC186">
        <f t="shared" si="167"/>
        <v>0</v>
      </c>
      <c r="HE186" t="s">
        <v>3</v>
      </c>
      <c r="HF186" t="s">
        <v>3</v>
      </c>
      <c r="HM186" t="s">
        <v>280</v>
      </c>
      <c r="HN186" t="s">
        <v>3</v>
      </c>
      <c r="HO186" t="s">
        <v>3</v>
      </c>
      <c r="HP186" t="s">
        <v>3</v>
      </c>
      <c r="HQ186" t="s">
        <v>3</v>
      </c>
      <c r="HS186">
        <v>0</v>
      </c>
      <c r="IK186">
        <v>0</v>
      </c>
    </row>
    <row r="187" spans="1:245">
      <c r="A187">
        <v>17</v>
      </c>
      <c r="B187">
        <v>1</v>
      </c>
      <c r="E187" t="s">
        <v>339</v>
      </c>
      <c r="F187" t="s">
        <v>340</v>
      </c>
      <c r="G187" t="s">
        <v>341</v>
      </c>
      <c r="H187" t="s">
        <v>210</v>
      </c>
      <c r="I187">
        <f>ROUND((50)/100,9)</f>
        <v>0.5</v>
      </c>
      <c r="J187">
        <v>0</v>
      </c>
      <c r="K187">
        <f>ROUND((50)/100,9)</f>
        <v>0.5</v>
      </c>
      <c r="O187">
        <f t="shared" si="143"/>
        <v>1738.3</v>
      </c>
      <c r="P187">
        <f t="shared" si="144"/>
        <v>344.2</v>
      </c>
      <c r="Q187">
        <f>(ROUND((ROUND(((((ET187*1.2)*1))*AV187*I187),2)*BB187),2)+ROUND((ROUND(((AE187-(((EU187*1.2)*1)))*AV187*I187),2)*BS187),2))</f>
        <v>9.02</v>
      </c>
      <c r="R187">
        <f>(ROUND((ROUND(((((EU187*1.2)*1))*AV187*I187),2)*BS187),2)+ROUND((ROUND(((AE187-(((EU187*1.2)*1)))*AV187*I187),2)*BS187),2))</f>
        <v>4.62</v>
      </c>
      <c r="S187">
        <f t="shared" si="145"/>
        <v>1385.08</v>
      </c>
      <c r="T187">
        <f t="shared" si="146"/>
        <v>0</v>
      </c>
      <c r="U187">
        <f t="shared" si="147"/>
        <v>1.9466999999999999</v>
      </c>
      <c r="V187">
        <f t="shared" si="148"/>
        <v>0</v>
      </c>
      <c r="W187">
        <f t="shared" si="149"/>
        <v>0</v>
      </c>
      <c r="X187">
        <f>(ROUND((((S187+ROUND((ROUND(((((EU187*1.2)*1))*AV187*I187),2)*BS187),2))*AT187)/100),2)+ROUND(((ROUND((ROUND(((AE187-(((EU187*1.2)*1)))*AV187*I187),2)*BS187),2)*AT187)/100),2))</f>
        <v>1348.01</v>
      </c>
      <c r="Y187">
        <f>(ROUND((((S187+ROUND((ROUND(((((EU187*1.2)*1))*AV187*I187),2)*BS187),2))*AU187)/100),2)+ROUND(((ROUND((ROUND(((AE187-(((EU187*1.2)*1)))*AV187*I187),2)*BS187),2)*AU187)/100),2))</f>
        <v>708.75</v>
      </c>
      <c r="AA187">
        <v>76282491</v>
      </c>
      <c r="AB187">
        <f t="shared" si="150"/>
        <v>137.9042</v>
      </c>
      <c r="AC187">
        <f>ROUND((((ES187*1)*1)),6)</f>
        <v>88.94</v>
      </c>
      <c r="AD187">
        <f>ROUND((((((ET187*1.2)*1))-(((EU187*1.2)*1)))+AE187),6)</f>
        <v>0.996</v>
      </c>
      <c r="AE187">
        <f>ROUND((((EU187*1.2)*1)),6)</f>
        <v>0.156</v>
      </c>
      <c r="AF187">
        <f>ROUND((((EV187*1.2)*1.05)),6)</f>
        <v>47.968200000000003</v>
      </c>
      <c r="AG187">
        <f t="shared" si="151"/>
        <v>0</v>
      </c>
      <c r="AH187">
        <f>(((EW187*1.2)*1.05))</f>
        <v>3.8933999999999997</v>
      </c>
      <c r="AI187">
        <f>(((EX187*1.2)*1))</f>
        <v>0</v>
      </c>
      <c r="AJ187">
        <f t="shared" si="152"/>
        <v>0</v>
      </c>
      <c r="AK187">
        <v>127.84</v>
      </c>
      <c r="AL187">
        <v>88.94</v>
      </c>
      <c r="AM187">
        <v>0.83</v>
      </c>
      <c r="AN187">
        <v>0.13</v>
      </c>
      <c r="AO187">
        <v>38.07</v>
      </c>
      <c r="AP187">
        <v>0</v>
      </c>
      <c r="AQ187">
        <v>3.09</v>
      </c>
      <c r="AR187">
        <v>0</v>
      </c>
      <c r="AS187">
        <v>0</v>
      </c>
      <c r="AT187">
        <v>97</v>
      </c>
      <c r="AU187">
        <v>51</v>
      </c>
      <c r="AV187">
        <v>1</v>
      </c>
      <c r="AW187">
        <v>1</v>
      </c>
      <c r="AZ187">
        <v>1</v>
      </c>
      <c r="BA187">
        <v>57.76</v>
      </c>
      <c r="BB187">
        <v>18.04</v>
      </c>
      <c r="BC187">
        <v>7.74</v>
      </c>
      <c r="BD187" t="s">
        <v>3</v>
      </c>
      <c r="BE187" t="s">
        <v>3</v>
      </c>
      <c r="BF187" t="s">
        <v>3</v>
      </c>
      <c r="BG187" t="s">
        <v>3</v>
      </c>
      <c r="BH187">
        <v>0</v>
      </c>
      <c r="BI187">
        <v>2</v>
      </c>
      <c r="BJ187" t="s">
        <v>342</v>
      </c>
      <c r="BM187">
        <v>67</v>
      </c>
      <c r="BN187">
        <v>0</v>
      </c>
      <c r="BO187" t="s">
        <v>340</v>
      </c>
      <c r="BP187">
        <v>1</v>
      </c>
      <c r="BQ187">
        <v>40</v>
      </c>
      <c r="BR187">
        <v>0</v>
      </c>
      <c r="BS187">
        <v>57.76</v>
      </c>
      <c r="BT187">
        <v>1</v>
      </c>
      <c r="BU187">
        <v>1</v>
      </c>
      <c r="BV187">
        <v>1</v>
      </c>
      <c r="BW187">
        <v>1</v>
      </c>
      <c r="BX187">
        <v>1</v>
      </c>
      <c r="BY187" t="s">
        <v>3</v>
      </c>
      <c r="BZ187">
        <v>97</v>
      </c>
      <c r="CA187">
        <v>51</v>
      </c>
      <c r="CB187" t="s">
        <v>3</v>
      </c>
      <c r="CE187">
        <v>1566</v>
      </c>
      <c r="CF187">
        <v>0</v>
      </c>
      <c r="CG187">
        <v>0</v>
      </c>
      <c r="CM187">
        <v>0</v>
      </c>
      <c r="CN187" t="s">
        <v>455</v>
      </c>
      <c r="CO187">
        <v>0</v>
      </c>
      <c r="CP187">
        <f t="shared" si="153"/>
        <v>1738.3</v>
      </c>
      <c r="CQ187">
        <f t="shared" si="154"/>
        <v>688.4</v>
      </c>
      <c r="CR187">
        <f>(ROUND((ROUND(((((ET187*1.2)*1))*AV187*1),2)*BB187),2)+ROUND((ROUND(((AE187-(((EU187*1.2)*1)))*AV187*1),2)*BS187),2))</f>
        <v>18.04</v>
      </c>
      <c r="CS187">
        <f>(ROUND((ROUND(((((EU187*1.2)*1))*AV187*1),2)*BS187),2)+ROUND((ROUND(((AE187-(((EU187*1.2)*1)))*AV187*1),2)*BS187),2))</f>
        <v>9.24</v>
      </c>
      <c r="CT187">
        <f t="shared" si="155"/>
        <v>2770.75</v>
      </c>
      <c r="CU187">
        <f t="shared" si="156"/>
        <v>0</v>
      </c>
      <c r="CV187">
        <f t="shared" si="157"/>
        <v>3.8933999999999997</v>
      </c>
      <c r="CW187">
        <f t="shared" si="158"/>
        <v>0</v>
      </c>
      <c r="CX187">
        <f t="shared" si="159"/>
        <v>0</v>
      </c>
      <c r="CY187">
        <f>(ROUND((((S187+ROUND((ROUND(((((EU187*1.2)*1))*AV187*1),2)*BS187),2))*AT187)/100),2)+ROUND(((ROUND((ROUND(((AE187-(((EU187*1.2)*1)))*AV187*1),2)*BS187),2)*AT187)/100),2))</f>
        <v>1352.49</v>
      </c>
      <c r="CZ187">
        <f>(ROUND((((S187+ROUND((ROUND(((((EU187*1.2)*1))*AV187*1),2)*BS187),2))*AU187)/100),2)+ROUND(((ROUND((ROUND(((AE187-(((EU187*1.2)*1)))*AV187*1),2)*BS187),2)*AU187)/100),2))</f>
        <v>711.1</v>
      </c>
      <c r="DB187">
        <v>23</v>
      </c>
      <c r="DC187" t="s">
        <v>3</v>
      </c>
      <c r="DD187" t="s">
        <v>280</v>
      </c>
      <c r="DE187" t="s">
        <v>281</v>
      </c>
      <c r="DF187" t="s">
        <v>281</v>
      </c>
      <c r="DG187" t="s">
        <v>282</v>
      </c>
      <c r="DH187" t="s">
        <v>3</v>
      </c>
      <c r="DI187" t="s">
        <v>282</v>
      </c>
      <c r="DJ187" t="s">
        <v>281</v>
      </c>
      <c r="DK187" t="s">
        <v>3</v>
      </c>
      <c r="DL187" t="s">
        <v>3</v>
      </c>
      <c r="DM187" t="s">
        <v>3</v>
      </c>
      <c r="DN187">
        <v>0</v>
      </c>
      <c r="DO187">
        <v>0</v>
      </c>
      <c r="DP187">
        <v>1</v>
      </c>
      <c r="DQ187">
        <v>1</v>
      </c>
      <c r="DU187">
        <v>1003</v>
      </c>
      <c r="DV187" t="s">
        <v>210</v>
      </c>
      <c r="DW187" t="s">
        <v>210</v>
      </c>
      <c r="DX187">
        <v>100</v>
      </c>
      <c r="DZ187" t="s">
        <v>3</v>
      </c>
      <c r="EA187" t="s">
        <v>3</v>
      </c>
      <c r="EB187" t="s">
        <v>3</v>
      </c>
      <c r="EC187" t="s">
        <v>3</v>
      </c>
      <c r="EE187">
        <v>76282301</v>
      </c>
      <c r="EF187">
        <v>40</v>
      </c>
      <c r="EG187" t="s">
        <v>20</v>
      </c>
      <c r="EH187">
        <v>0</v>
      </c>
      <c r="EI187" t="s">
        <v>3</v>
      </c>
      <c r="EJ187">
        <v>2</v>
      </c>
      <c r="EK187">
        <v>67</v>
      </c>
      <c r="EL187" t="s">
        <v>21</v>
      </c>
      <c r="EM187" t="s">
        <v>22</v>
      </c>
      <c r="EO187" t="s">
        <v>283</v>
      </c>
      <c r="EQ187">
        <v>131072</v>
      </c>
      <c r="ER187">
        <v>127.84</v>
      </c>
      <c r="ES187">
        <v>88.94</v>
      </c>
      <c r="ET187">
        <v>0.83</v>
      </c>
      <c r="EU187">
        <v>0.13</v>
      </c>
      <c r="EV187">
        <v>38.07</v>
      </c>
      <c r="EW187">
        <v>3.09</v>
      </c>
      <c r="EX187">
        <v>0</v>
      </c>
      <c r="EY187">
        <v>0</v>
      </c>
      <c r="FQ187">
        <v>0</v>
      </c>
      <c r="FR187">
        <v>0</v>
      </c>
      <c r="FS187">
        <v>0</v>
      </c>
      <c r="FX187">
        <v>97</v>
      </c>
      <c r="FY187">
        <v>51</v>
      </c>
      <c r="GA187" t="s">
        <v>3</v>
      </c>
      <c r="GD187">
        <v>1</v>
      </c>
      <c r="GF187">
        <v>-1750277137</v>
      </c>
      <c r="GG187">
        <v>2</v>
      </c>
      <c r="GH187">
        <v>0</v>
      </c>
      <c r="GI187">
        <v>2</v>
      </c>
      <c r="GJ187">
        <v>0</v>
      </c>
      <c r="GK187">
        <v>0</v>
      </c>
      <c r="GL187">
        <f t="shared" si="160"/>
        <v>0</v>
      </c>
      <c r="GM187">
        <f t="shared" si="161"/>
        <v>3795.06</v>
      </c>
      <c r="GN187">
        <f t="shared" si="162"/>
        <v>0</v>
      </c>
      <c r="GO187">
        <f t="shared" si="163"/>
        <v>3795.06</v>
      </c>
      <c r="GP187">
        <f t="shared" si="164"/>
        <v>0</v>
      </c>
      <c r="GR187">
        <v>0</v>
      </c>
      <c r="GS187">
        <v>7</v>
      </c>
      <c r="GT187">
        <v>0</v>
      </c>
      <c r="GU187" t="s">
        <v>3</v>
      </c>
      <c r="GV187">
        <f t="shared" si="165"/>
        <v>0</v>
      </c>
      <c r="GW187">
        <v>1</v>
      </c>
      <c r="GX187">
        <f t="shared" si="166"/>
        <v>0</v>
      </c>
      <c r="HA187">
        <v>0</v>
      </c>
      <c r="HB187">
        <v>0</v>
      </c>
      <c r="HC187">
        <f t="shared" si="167"/>
        <v>0</v>
      </c>
      <c r="HE187" t="s">
        <v>3</v>
      </c>
      <c r="HF187" t="s">
        <v>3</v>
      </c>
      <c r="HM187" t="s">
        <v>3</v>
      </c>
      <c r="HN187" t="s">
        <v>3</v>
      </c>
      <c r="HO187" t="s">
        <v>3</v>
      </c>
      <c r="HP187" t="s">
        <v>3</v>
      </c>
      <c r="HQ187" t="s">
        <v>3</v>
      </c>
      <c r="HS187">
        <v>0</v>
      </c>
      <c r="IK187">
        <v>0</v>
      </c>
    </row>
    <row r="188" spans="1:245">
      <c r="A188">
        <v>18</v>
      </c>
      <c r="B188">
        <v>1</v>
      </c>
      <c r="E188" t="s">
        <v>343</v>
      </c>
      <c r="F188" t="s">
        <v>240</v>
      </c>
      <c r="G188" t="s">
        <v>241</v>
      </c>
      <c r="H188" t="s">
        <v>242</v>
      </c>
      <c r="I188">
        <f>I187*J188</f>
        <v>5.1499999999999997E-2</v>
      </c>
      <c r="J188">
        <v>0.10299999999999999</v>
      </c>
      <c r="K188">
        <v>0.10299999999999999</v>
      </c>
      <c r="O188">
        <f t="shared" si="143"/>
        <v>0</v>
      </c>
      <c r="P188">
        <f t="shared" si="144"/>
        <v>0</v>
      </c>
      <c r="Q188">
        <f>(ROUND((ROUND(((ET188)*AV188*I188),2)*BB188),2)+ROUND((ROUND(((AE188-(EU188))*AV188*I188),2)*BS188),2))</f>
        <v>0</v>
      </c>
      <c r="R188">
        <f>(ROUND((ROUND(((EU188)*AV188*I188),2)*BS188),2)+ROUND((ROUND(((AE188-(EU188))*AV188*I188),2)*BS188),2))</f>
        <v>0</v>
      </c>
      <c r="S188">
        <f t="shared" si="145"/>
        <v>0</v>
      </c>
      <c r="T188">
        <f t="shared" si="146"/>
        <v>0</v>
      </c>
      <c r="U188">
        <f t="shared" si="147"/>
        <v>0</v>
      </c>
      <c r="V188">
        <f t="shared" si="148"/>
        <v>0</v>
      </c>
      <c r="W188">
        <f t="shared" si="149"/>
        <v>0</v>
      </c>
      <c r="X188">
        <f>(ROUND((((S188+ROUND((ROUND(((EU188)*AV188*I188),2)*BS188),2))*AT188)/100),2)+ROUND(((ROUND((ROUND(((AE188-(EU188))*AV188*I188),2)*BS188),2)*AT188)/100),2))</f>
        <v>0</v>
      </c>
      <c r="Y188">
        <f>(ROUND((((S188+ROUND((ROUND(((EU188)*AV188*I188),2)*BS188),2))*AU188)/100),2)+ROUND(((ROUND((ROUND(((AE188-(EU188))*AV188*I188),2)*BS188),2)*AU188)/100),2))</f>
        <v>0</v>
      </c>
      <c r="AA188">
        <v>76282491</v>
      </c>
      <c r="AB188">
        <f t="shared" si="150"/>
        <v>0</v>
      </c>
      <c r="AC188">
        <f>ROUND((ES188),6)</f>
        <v>0</v>
      </c>
      <c r="AD188">
        <f>ROUND((((ET188)-(EU188))+AE188),6)</f>
        <v>0</v>
      </c>
      <c r="AE188">
        <f>ROUND((EU188),6)</f>
        <v>0</v>
      </c>
      <c r="AF188">
        <f>ROUND((EV188),6)</f>
        <v>0</v>
      </c>
      <c r="AG188">
        <f t="shared" si="151"/>
        <v>0</v>
      </c>
      <c r="AH188">
        <f>(EW188)</f>
        <v>0</v>
      </c>
      <c r="AI188">
        <f>(EX188)</f>
        <v>0</v>
      </c>
      <c r="AJ188">
        <f t="shared" si="152"/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97</v>
      </c>
      <c r="AU188">
        <v>51</v>
      </c>
      <c r="AV188">
        <v>1</v>
      </c>
      <c r="AW188">
        <v>1</v>
      </c>
      <c r="AZ188">
        <v>1</v>
      </c>
      <c r="BA188">
        <v>1</v>
      </c>
      <c r="BB188">
        <v>1</v>
      </c>
      <c r="BC188">
        <v>1</v>
      </c>
      <c r="BD188" t="s">
        <v>3</v>
      </c>
      <c r="BE188" t="s">
        <v>3</v>
      </c>
      <c r="BF188" t="s">
        <v>3</v>
      </c>
      <c r="BG188" t="s">
        <v>3</v>
      </c>
      <c r="BH188">
        <v>3</v>
      </c>
      <c r="BI188">
        <v>2</v>
      </c>
      <c r="BJ188" t="s">
        <v>3</v>
      </c>
      <c r="BM188">
        <v>67</v>
      </c>
      <c r="BN188">
        <v>0</v>
      </c>
      <c r="BO188" t="s">
        <v>3</v>
      </c>
      <c r="BP188">
        <v>0</v>
      </c>
      <c r="BQ188">
        <v>40</v>
      </c>
      <c r="BR188">
        <v>0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 t="s">
        <v>3</v>
      </c>
      <c r="BZ188">
        <v>97</v>
      </c>
      <c r="CA188">
        <v>51</v>
      </c>
      <c r="CB188" t="s">
        <v>3</v>
      </c>
      <c r="CE188">
        <v>1566</v>
      </c>
      <c r="CF188">
        <v>0</v>
      </c>
      <c r="CG188">
        <v>0</v>
      </c>
      <c r="CM188">
        <v>0</v>
      </c>
      <c r="CN188" t="s">
        <v>456</v>
      </c>
      <c r="CO188">
        <v>0</v>
      </c>
      <c r="CP188">
        <f t="shared" si="153"/>
        <v>0</v>
      </c>
      <c r="CQ188">
        <f t="shared" si="154"/>
        <v>0</v>
      </c>
      <c r="CR188">
        <f>(ROUND((ROUND(((ET188)*AV188*1),2)*BB188),2)+ROUND((ROUND(((AE188-(EU188))*AV188*1),2)*BS188),2))</f>
        <v>0</v>
      </c>
      <c r="CS188">
        <f>(ROUND((ROUND(((EU188)*AV188*1),2)*BS188),2)+ROUND((ROUND(((AE188-(EU188))*AV188*1),2)*BS188),2))</f>
        <v>0</v>
      </c>
      <c r="CT188">
        <f t="shared" si="155"/>
        <v>0</v>
      </c>
      <c r="CU188">
        <f t="shared" si="156"/>
        <v>0</v>
      </c>
      <c r="CV188">
        <f t="shared" si="157"/>
        <v>0</v>
      </c>
      <c r="CW188">
        <f t="shared" si="158"/>
        <v>0</v>
      </c>
      <c r="CX188">
        <f t="shared" si="159"/>
        <v>0</v>
      </c>
      <c r="CY188">
        <f>(ROUND((((S188+ROUND((ROUND(((EU188)*AV188*1),2)*BS188),2))*AT188)/100),2)+ROUND(((ROUND((ROUND(((AE188-(EU188))*AV188*1),2)*BS188),2)*AT188)/100),2))</f>
        <v>0</v>
      </c>
      <c r="CZ188">
        <f>(ROUND((((S188+ROUND((ROUND(((EU188)*AV188*1),2)*BS188),2))*AU188)/100),2)+ROUND(((ROUND((ROUND(((AE188-(EU188))*AV188*1),2)*BS188),2)*AU188)/100),2))</f>
        <v>0</v>
      </c>
      <c r="DC188" t="s">
        <v>3</v>
      </c>
      <c r="DD188" t="s">
        <v>3</v>
      </c>
      <c r="DE188" t="s">
        <v>3</v>
      </c>
      <c r="DF188" t="s">
        <v>3</v>
      </c>
      <c r="DG188" t="s">
        <v>3</v>
      </c>
      <c r="DH188" t="s">
        <v>3</v>
      </c>
      <c r="DI188" t="s">
        <v>3</v>
      </c>
      <c r="DJ188" t="s">
        <v>3</v>
      </c>
      <c r="DK188" t="s">
        <v>3</v>
      </c>
      <c r="DL188" t="s">
        <v>3</v>
      </c>
      <c r="DM188" t="s">
        <v>3</v>
      </c>
      <c r="DN188">
        <v>0</v>
      </c>
      <c r="DO188">
        <v>0</v>
      </c>
      <c r="DP188">
        <v>1</v>
      </c>
      <c r="DQ188">
        <v>1</v>
      </c>
      <c r="DU188">
        <v>1003</v>
      </c>
      <c r="DV188" t="s">
        <v>242</v>
      </c>
      <c r="DW188" t="s">
        <v>242</v>
      </c>
      <c r="DX188">
        <v>1000</v>
      </c>
      <c r="DZ188" t="s">
        <v>3</v>
      </c>
      <c r="EA188" t="s">
        <v>3</v>
      </c>
      <c r="EB188" t="s">
        <v>3</v>
      </c>
      <c r="EC188" t="s">
        <v>3</v>
      </c>
      <c r="EE188">
        <v>76282301</v>
      </c>
      <c r="EF188">
        <v>40</v>
      </c>
      <c r="EG188" t="s">
        <v>20</v>
      </c>
      <c r="EH188">
        <v>0</v>
      </c>
      <c r="EI188" t="s">
        <v>3</v>
      </c>
      <c r="EJ188">
        <v>2</v>
      </c>
      <c r="EK188">
        <v>67</v>
      </c>
      <c r="EL188" t="s">
        <v>21</v>
      </c>
      <c r="EM188" t="s">
        <v>22</v>
      </c>
      <c r="EO188" t="s">
        <v>287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FQ188">
        <v>0</v>
      </c>
      <c r="FR188">
        <v>0</v>
      </c>
      <c r="FS188">
        <v>0</v>
      </c>
      <c r="FX188">
        <v>97</v>
      </c>
      <c r="FY188">
        <v>51</v>
      </c>
      <c r="GA188" t="s">
        <v>3</v>
      </c>
      <c r="GD188">
        <v>1</v>
      </c>
      <c r="GF188">
        <v>-507544343</v>
      </c>
      <c r="GG188">
        <v>2</v>
      </c>
      <c r="GH188">
        <v>0</v>
      </c>
      <c r="GI188">
        <v>-2</v>
      </c>
      <c r="GJ188">
        <v>0</v>
      </c>
      <c r="GK188">
        <v>0</v>
      </c>
      <c r="GL188">
        <f t="shared" si="160"/>
        <v>0</v>
      </c>
      <c r="GM188">
        <f t="shared" si="161"/>
        <v>0</v>
      </c>
      <c r="GN188">
        <f t="shared" si="162"/>
        <v>0</v>
      </c>
      <c r="GO188">
        <f t="shared" si="163"/>
        <v>0</v>
      </c>
      <c r="GP188">
        <f t="shared" si="164"/>
        <v>0</v>
      </c>
      <c r="GR188">
        <v>0</v>
      </c>
      <c r="GS188">
        <v>0</v>
      </c>
      <c r="GT188">
        <v>0</v>
      </c>
      <c r="GU188" t="s">
        <v>3</v>
      </c>
      <c r="GV188">
        <f t="shared" si="165"/>
        <v>0</v>
      </c>
      <c r="GW188">
        <v>1</v>
      </c>
      <c r="GX188">
        <f t="shared" si="166"/>
        <v>0</v>
      </c>
      <c r="HA188">
        <v>0</v>
      </c>
      <c r="HB188">
        <v>0</v>
      </c>
      <c r="HC188">
        <f t="shared" si="167"/>
        <v>0</v>
      </c>
      <c r="HE188" t="s">
        <v>3</v>
      </c>
      <c r="HF188" t="s">
        <v>3</v>
      </c>
      <c r="HM188" t="s">
        <v>280</v>
      </c>
      <c r="HN188" t="s">
        <v>3</v>
      </c>
      <c r="HO188" t="s">
        <v>3</v>
      </c>
      <c r="HP188" t="s">
        <v>3</v>
      </c>
      <c r="HQ188" t="s">
        <v>3</v>
      </c>
      <c r="HS188">
        <v>0</v>
      </c>
      <c r="IK188">
        <v>0</v>
      </c>
    </row>
    <row r="189" spans="1:245">
      <c r="A189">
        <v>17</v>
      </c>
      <c r="B189">
        <v>1</v>
      </c>
      <c r="E189" t="s">
        <v>344</v>
      </c>
      <c r="F189" t="s">
        <v>345</v>
      </c>
      <c r="G189" t="s">
        <v>346</v>
      </c>
      <c r="H189" t="s">
        <v>242</v>
      </c>
      <c r="I189">
        <v>5.1499999999999997E-2</v>
      </c>
      <c r="J189">
        <v>0</v>
      </c>
      <c r="K189">
        <v>5.1499999999999997E-2</v>
      </c>
      <c r="O189">
        <f t="shared" si="143"/>
        <v>393.72</v>
      </c>
      <c r="P189">
        <f t="shared" si="144"/>
        <v>393.72</v>
      </c>
      <c r="Q189">
        <f>(ROUND((ROUND(((ET189)*AV189*I189),2)*BB189),2)+ROUND((ROUND(((AE189-(EU189))*AV189*I189),2)*BS189),2))</f>
        <v>0</v>
      </c>
      <c r="R189">
        <f>(ROUND((ROUND(((EU189)*AV189*I189),2)*BS189),2)+ROUND((ROUND(((AE189-(EU189))*AV189*I189),2)*BS189),2))</f>
        <v>0</v>
      </c>
      <c r="S189">
        <f t="shared" si="145"/>
        <v>0</v>
      </c>
      <c r="T189">
        <f t="shared" si="146"/>
        <v>0</v>
      </c>
      <c r="U189">
        <f t="shared" si="147"/>
        <v>0</v>
      </c>
      <c r="V189">
        <f t="shared" si="148"/>
        <v>0</v>
      </c>
      <c r="W189">
        <f t="shared" si="149"/>
        <v>0</v>
      </c>
      <c r="X189">
        <f>(ROUND((((S189+ROUND((ROUND(((EU189)*AV189*I189),2)*BS189),2))*AT189)/100),2)+ROUND(((ROUND((ROUND(((AE189-(EU189))*AV189*I189),2)*BS189),2)*AT189)/100),2))</f>
        <v>0</v>
      </c>
      <c r="Y189">
        <f>(ROUND((((S189+ROUND((ROUND(((EU189)*AV189*I189),2)*BS189),2))*AU189)/100),2)+ROUND(((ROUND((ROUND(((AE189-(EU189))*AV189*I189),2)*BS189),2)*AU189)/100),2))</f>
        <v>0</v>
      </c>
      <c r="AA189">
        <v>76282491</v>
      </c>
      <c r="AB189">
        <f t="shared" si="150"/>
        <v>7644.98</v>
      </c>
      <c r="AC189">
        <f>ROUND((ES189),6)</f>
        <v>7644.98</v>
      </c>
      <c r="AD189">
        <f>ROUND((((ET189)-(EU189))+AE189),6)</f>
        <v>0</v>
      </c>
      <c r="AE189">
        <f>ROUND((EU189),6)</f>
        <v>0</v>
      </c>
      <c r="AF189">
        <f>ROUND((EV189),6)</f>
        <v>0</v>
      </c>
      <c r="AG189">
        <f t="shared" si="151"/>
        <v>0</v>
      </c>
      <c r="AH189">
        <f>(EW189)</f>
        <v>0</v>
      </c>
      <c r="AI189">
        <f>(EX189)</f>
        <v>0</v>
      </c>
      <c r="AJ189">
        <f t="shared" si="152"/>
        <v>0</v>
      </c>
      <c r="AK189">
        <v>7644.98</v>
      </c>
      <c r="AL189">
        <v>7644.98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1</v>
      </c>
      <c r="AZ189">
        <v>1</v>
      </c>
      <c r="BA189">
        <v>1</v>
      </c>
      <c r="BB189">
        <v>1</v>
      </c>
      <c r="BC189">
        <v>1</v>
      </c>
      <c r="BD189" t="s">
        <v>3</v>
      </c>
      <c r="BE189" t="s">
        <v>3</v>
      </c>
      <c r="BF189" t="s">
        <v>3</v>
      </c>
      <c r="BG189" t="s">
        <v>3</v>
      </c>
      <c r="BH189">
        <v>3</v>
      </c>
      <c r="BI189">
        <v>2</v>
      </c>
      <c r="BJ189" t="s">
        <v>347</v>
      </c>
      <c r="BM189">
        <v>1618</v>
      </c>
      <c r="BN189">
        <v>0</v>
      </c>
      <c r="BO189" t="s">
        <v>3</v>
      </c>
      <c r="BP189">
        <v>0</v>
      </c>
      <c r="BQ189">
        <v>201</v>
      </c>
      <c r="BR189">
        <v>0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 t="s">
        <v>3</v>
      </c>
      <c r="BZ189">
        <v>0</v>
      </c>
      <c r="CA189">
        <v>0</v>
      </c>
      <c r="CB189" t="s">
        <v>3</v>
      </c>
      <c r="CE189">
        <v>1566</v>
      </c>
      <c r="CF189">
        <v>0</v>
      </c>
      <c r="CG189">
        <v>0</v>
      </c>
      <c r="CM189">
        <v>0</v>
      </c>
      <c r="CN189" t="s">
        <v>3</v>
      </c>
      <c r="CO189">
        <v>0</v>
      </c>
      <c r="CP189">
        <f t="shared" si="153"/>
        <v>393.72</v>
      </c>
      <c r="CQ189">
        <f t="shared" si="154"/>
        <v>7644.98</v>
      </c>
      <c r="CR189">
        <f>(ROUND((ROUND(((ET189)*AV189*1),2)*BB189),2)+ROUND((ROUND(((AE189-(EU189))*AV189*1),2)*BS189),2))</f>
        <v>0</v>
      </c>
      <c r="CS189">
        <f>(ROUND((ROUND(((EU189)*AV189*1),2)*BS189),2)+ROUND((ROUND(((AE189-(EU189))*AV189*1),2)*BS189),2))</f>
        <v>0</v>
      </c>
      <c r="CT189">
        <f t="shared" si="155"/>
        <v>0</v>
      </c>
      <c r="CU189">
        <f t="shared" si="156"/>
        <v>0</v>
      </c>
      <c r="CV189">
        <f t="shared" si="157"/>
        <v>0</v>
      </c>
      <c r="CW189">
        <f t="shared" si="158"/>
        <v>0</v>
      </c>
      <c r="CX189">
        <f t="shared" si="159"/>
        <v>0</v>
      </c>
      <c r="CY189">
        <f>(ROUND((((S189+ROUND((ROUND(((EU189)*AV189*1),2)*BS189),2))*AT189)/100),2)+ROUND(((ROUND((ROUND(((AE189-(EU189))*AV189*1),2)*BS189),2)*AT189)/100),2))</f>
        <v>0</v>
      </c>
      <c r="CZ189">
        <f>(ROUND((((S189+ROUND((ROUND(((EU189)*AV189*1),2)*BS189),2))*AU189)/100),2)+ROUND(((ROUND((ROUND(((AE189-(EU189))*AV189*1),2)*BS189),2)*AU189)/100),2))</f>
        <v>0</v>
      </c>
      <c r="DC189" t="s">
        <v>3</v>
      </c>
      <c r="DD189" t="s">
        <v>3</v>
      </c>
      <c r="DE189" t="s">
        <v>3</v>
      </c>
      <c r="DF189" t="s">
        <v>3</v>
      </c>
      <c r="DG189" t="s">
        <v>3</v>
      </c>
      <c r="DH189" t="s">
        <v>3</v>
      </c>
      <c r="DI189" t="s">
        <v>3</v>
      </c>
      <c r="DJ189" t="s">
        <v>3</v>
      </c>
      <c r="DK189" t="s">
        <v>3</v>
      </c>
      <c r="DL189" t="s">
        <v>3</v>
      </c>
      <c r="DM189" t="s">
        <v>3</v>
      </c>
      <c r="DN189">
        <v>0</v>
      </c>
      <c r="DO189">
        <v>0</v>
      </c>
      <c r="DP189">
        <v>1</v>
      </c>
      <c r="DQ189">
        <v>1</v>
      </c>
      <c r="DU189">
        <v>1003</v>
      </c>
      <c r="DV189" t="s">
        <v>242</v>
      </c>
      <c r="DW189" t="s">
        <v>242</v>
      </c>
      <c r="DX189">
        <v>1000</v>
      </c>
      <c r="DZ189" t="s">
        <v>3</v>
      </c>
      <c r="EA189" t="s">
        <v>3</v>
      </c>
      <c r="EB189" t="s">
        <v>3</v>
      </c>
      <c r="EC189" t="s">
        <v>3</v>
      </c>
      <c r="EE189">
        <v>76282429</v>
      </c>
      <c r="EF189">
        <v>201</v>
      </c>
      <c r="EG189" t="s">
        <v>294</v>
      </c>
      <c r="EH189">
        <v>0</v>
      </c>
      <c r="EI189" t="s">
        <v>3</v>
      </c>
      <c r="EJ189">
        <v>2</v>
      </c>
      <c r="EK189">
        <v>1618</v>
      </c>
      <c r="EL189" t="s">
        <v>295</v>
      </c>
      <c r="EM189" t="s">
        <v>296</v>
      </c>
      <c r="EO189" t="s">
        <v>3</v>
      </c>
      <c r="EQ189">
        <v>131072</v>
      </c>
      <c r="ER189">
        <v>7644.98</v>
      </c>
      <c r="ES189">
        <v>7644.98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FQ189">
        <v>0</v>
      </c>
      <c r="FR189">
        <v>0</v>
      </c>
      <c r="FS189">
        <v>0</v>
      </c>
      <c r="FX189">
        <v>0</v>
      </c>
      <c r="FY189">
        <v>0</v>
      </c>
      <c r="GA189" t="s">
        <v>3</v>
      </c>
      <c r="GD189">
        <v>1</v>
      </c>
      <c r="GF189">
        <v>1700439602</v>
      </c>
      <c r="GG189">
        <v>2</v>
      </c>
      <c r="GH189">
        <v>0</v>
      </c>
      <c r="GI189">
        <v>-2</v>
      </c>
      <c r="GJ189">
        <v>0</v>
      </c>
      <c r="GK189">
        <v>0</v>
      </c>
      <c r="GL189">
        <f t="shared" si="160"/>
        <v>0</v>
      </c>
      <c r="GM189">
        <f t="shared" si="161"/>
        <v>393.72</v>
      </c>
      <c r="GN189">
        <f t="shared" si="162"/>
        <v>0</v>
      </c>
      <c r="GO189">
        <f t="shared" si="163"/>
        <v>393.72</v>
      </c>
      <c r="GP189">
        <f t="shared" si="164"/>
        <v>0</v>
      </c>
      <c r="GR189">
        <v>0</v>
      </c>
      <c r="GS189">
        <v>0</v>
      </c>
      <c r="GT189">
        <v>0</v>
      </c>
      <c r="GU189" t="s">
        <v>3</v>
      </c>
      <c r="GV189">
        <f t="shared" si="165"/>
        <v>0</v>
      </c>
      <c r="GW189">
        <v>1</v>
      </c>
      <c r="GX189">
        <f t="shared" si="166"/>
        <v>0</v>
      </c>
      <c r="HA189">
        <v>0</v>
      </c>
      <c r="HB189">
        <v>0</v>
      </c>
      <c r="HC189">
        <f t="shared" si="167"/>
        <v>0</v>
      </c>
      <c r="HE189" t="s">
        <v>3</v>
      </c>
      <c r="HF189" t="s">
        <v>3</v>
      </c>
      <c r="HM189" t="s">
        <v>3</v>
      </c>
      <c r="HN189" t="s">
        <v>3</v>
      </c>
      <c r="HO189" t="s">
        <v>3</v>
      </c>
      <c r="HP189" t="s">
        <v>3</v>
      </c>
      <c r="HQ189" t="s">
        <v>3</v>
      </c>
      <c r="HS189">
        <v>0</v>
      </c>
      <c r="IK189">
        <v>0</v>
      </c>
    </row>
    <row r="190" spans="1:245">
      <c r="A190">
        <v>17</v>
      </c>
      <c r="B190">
        <v>1</v>
      </c>
      <c r="E190" t="s">
        <v>348</v>
      </c>
      <c r="F190" t="s">
        <v>349</v>
      </c>
      <c r="G190" t="s">
        <v>350</v>
      </c>
      <c r="H190" t="s">
        <v>189</v>
      </c>
      <c r="I190">
        <f>ROUND((5)/100,9)</f>
        <v>0.05</v>
      </c>
      <c r="J190">
        <v>0</v>
      </c>
      <c r="K190">
        <f>ROUND((5)/100,9)</f>
        <v>0.05</v>
      </c>
      <c r="O190">
        <f t="shared" si="143"/>
        <v>4096.46</v>
      </c>
      <c r="P190">
        <f t="shared" si="144"/>
        <v>16.989999999999998</v>
      </c>
      <c r="Q190">
        <f>(ROUND((ROUND(((((ET190*1.2)*1))*AV190*I190),2)*BB190),2)+ROUND((ROUND(((AE190-(((EU190*1.2)*1)))*AV190*I190),2)*BS190),2))</f>
        <v>54.18</v>
      </c>
      <c r="R190">
        <f>(ROUND((ROUND(((((EU190*1.2)*1))*AV190*I190),2)*BS190),2)+ROUND((ROUND(((AE190-(((EU190*1.2)*1)))*AV190*I190),2)*BS190),2))</f>
        <v>24.26</v>
      </c>
      <c r="S190">
        <f t="shared" si="145"/>
        <v>4025.29</v>
      </c>
      <c r="T190">
        <f t="shared" si="146"/>
        <v>0</v>
      </c>
      <c r="U190">
        <f t="shared" si="147"/>
        <v>5.3386199999999997</v>
      </c>
      <c r="V190">
        <f t="shared" si="148"/>
        <v>0</v>
      </c>
      <c r="W190">
        <f t="shared" si="149"/>
        <v>0</v>
      </c>
      <c r="X190">
        <f>(ROUND((((S190+ROUND((ROUND(((((EU190*1.2)*1))*AV190*I190),2)*BS190),2))*AT190)/100),2)+ROUND(((ROUND((ROUND(((AE190-(((EU190*1.2)*1)))*AV190*I190),2)*BS190),2)*AT190)/100),2))</f>
        <v>3928.06</v>
      </c>
      <c r="Y190">
        <f>(ROUND((((S190+ROUND((ROUND(((((EU190*1.2)*1))*AV190*I190),2)*BS190),2))*AU190)/100),2)+ROUND(((ROUND((ROUND(((AE190-(((EU190*1.2)*1)))*AV190*I190),2)*BS190),2)*AU190)/100),2))</f>
        <v>2065.27</v>
      </c>
      <c r="AA190">
        <v>76282491</v>
      </c>
      <c r="AB190">
        <f t="shared" si="150"/>
        <v>1565.9875999999999</v>
      </c>
      <c r="AC190">
        <f>ROUND((((ES190*1)*1)),6)</f>
        <v>109.58</v>
      </c>
      <c r="AD190">
        <f>ROUND((((((ET190*1.2)*1))-(((EU190*1.2)*1)))+AE190),6)</f>
        <v>62.52</v>
      </c>
      <c r="AE190">
        <f>ROUND((((EU190*1.2)*1)),6)</f>
        <v>8.484</v>
      </c>
      <c r="AF190">
        <f>ROUND((((EV190*1.2)*1.05)),6)</f>
        <v>1393.8876</v>
      </c>
      <c r="AG190">
        <f t="shared" si="151"/>
        <v>0</v>
      </c>
      <c r="AH190">
        <f>(((EW190*1.2)*1.05))</f>
        <v>106.77239999999999</v>
      </c>
      <c r="AI190">
        <f>(((EX190*1.2)*1))</f>
        <v>0</v>
      </c>
      <c r="AJ190">
        <f t="shared" si="152"/>
        <v>0</v>
      </c>
      <c r="AK190">
        <v>1267.94</v>
      </c>
      <c r="AL190">
        <v>109.58</v>
      </c>
      <c r="AM190">
        <v>52.1</v>
      </c>
      <c r="AN190">
        <v>7.07</v>
      </c>
      <c r="AO190">
        <v>1106.26</v>
      </c>
      <c r="AP190">
        <v>0</v>
      </c>
      <c r="AQ190">
        <v>84.74</v>
      </c>
      <c r="AR190">
        <v>0</v>
      </c>
      <c r="AS190">
        <v>0</v>
      </c>
      <c r="AT190">
        <v>97</v>
      </c>
      <c r="AU190">
        <v>51</v>
      </c>
      <c r="AV190">
        <v>1</v>
      </c>
      <c r="AW190">
        <v>1</v>
      </c>
      <c r="AZ190">
        <v>1</v>
      </c>
      <c r="BA190">
        <v>57.76</v>
      </c>
      <c r="BB190">
        <v>17.309999999999999</v>
      </c>
      <c r="BC190">
        <v>3.1</v>
      </c>
      <c r="BD190" t="s">
        <v>3</v>
      </c>
      <c r="BE190" t="s">
        <v>3</v>
      </c>
      <c r="BF190" t="s">
        <v>3</v>
      </c>
      <c r="BG190" t="s">
        <v>3</v>
      </c>
      <c r="BH190">
        <v>0</v>
      </c>
      <c r="BI190">
        <v>2</v>
      </c>
      <c r="BJ190" t="s">
        <v>351</v>
      </c>
      <c r="BM190">
        <v>67</v>
      </c>
      <c r="BN190">
        <v>0</v>
      </c>
      <c r="BO190" t="s">
        <v>349</v>
      </c>
      <c r="BP190">
        <v>1</v>
      </c>
      <c r="BQ190">
        <v>40</v>
      </c>
      <c r="BR190">
        <v>0</v>
      </c>
      <c r="BS190">
        <v>57.76</v>
      </c>
      <c r="BT190">
        <v>1</v>
      </c>
      <c r="BU190">
        <v>1</v>
      </c>
      <c r="BV190">
        <v>1</v>
      </c>
      <c r="BW190">
        <v>1</v>
      </c>
      <c r="BX190">
        <v>1</v>
      </c>
      <c r="BY190" t="s">
        <v>3</v>
      </c>
      <c r="BZ190">
        <v>97</v>
      </c>
      <c r="CA190">
        <v>51</v>
      </c>
      <c r="CB190" t="s">
        <v>3</v>
      </c>
      <c r="CE190">
        <v>1566</v>
      </c>
      <c r="CF190">
        <v>0</v>
      </c>
      <c r="CG190">
        <v>0</v>
      </c>
      <c r="CM190">
        <v>0</v>
      </c>
      <c r="CN190" t="s">
        <v>455</v>
      </c>
      <c r="CO190">
        <v>0</v>
      </c>
      <c r="CP190">
        <f t="shared" si="153"/>
        <v>4096.46</v>
      </c>
      <c r="CQ190">
        <f t="shared" si="154"/>
        <v>339.7</v>
      </c>
      <c r="CR190">
        <f>(ROUND((ROUND(((((ET190*1.2)*1))*AV190*1),2)*BB190),2)+ROUND((ROUND(((AE190-(((EU190*1.2)*1)))*AV190*1),2)*BS190),2))</f>
        <v>1082.22</v>
      </c>
      <c r="CS190">
        <f>(ROUND((ROUND(((((EU190*1.2)*1))*AV190*1),2)*BS190),2)+ROUND((ROUND(((AE190-(((EU190*1.2)*1)))*AV190*1),2)*BS190),2))</f>
        <v>489.8</v>
      </c>
      <c r="CT190">
        <f t="shared" si="155"/>
        <v>80511.09</v>
      </c>
      <c r="CU190">
        <f t="shared" si="156"/>
        <v>0</v>
      </c>
      <c r="CV190">
        <f t="shared" si="157"/>
        <v>106.77239999999999</v>
      </c>
      <c r="CW190">
        <f t="shared" si="158"/>
        <v>0</v>
      </c>
      <c r="CX190">
        <f t="shared" si="159"/>
        <v>0</v>
      </c>
      <c r="CY190">
        <f>(ROUND((((S190+ROUND((ROUND(((((EU190*1.2)*1))*AV190*1),2)*BS190),2))*AT190)/100),2)+ROUND(((ROUND((ROUND(((AE190-(((EU190*1.2)*1)))*AV190*1),2)*BS190),2)*AT190)/100),2))</f>
        <v>4379.6400000000003</v>
      </c>
      <c r="CZ190">
        <f>(ROUND((((S190+ROUND((ROUND(((((EU190*1.2)*1))*AV190*1),2)*BS190),2))*AU190)/100),2)+ROUND(((ROUND((ROUND(((AE190-(((EU190*1.2)*1)))*AV190*1),2)*BS190),2)*AU190)/100),2))</f>
        <v>2302.6999999999998</v>
      </c>
      <c r="DB190">
        <v>25</v>
      </c>
      <c r="DC190" t="s">
        <v>3</v>
      </c>
      <c r="DD190" t="s">
        <v>280</v>
      </c>
      <c r="DE190" t="s">
        <v>281</v>
      </c>
      <c r="DF190" t="s">
        <v>281</v>
      </c>
      <c r="DG190" t="s">
        <v>282</v>
      </c>
      <c r="DH190" t="s">
        <v>3</v>
      </c>
      <c r="DI190" t="s">
        <v>282</v>
      </c>
      <c r="DJ190" t="s">
        <v>281</v>
      </c>
      <c r="DK190" t="s">
        <v>3</v>
      </c>
      <c r="DL190" t="s">
        <v>3</v>
      </c>
      <c r="DM190" t="s">
        <v>3</v>
      </c>
      <c r="DN190">
        <v>0</v>
      </c>
      <c r="DO190">
        <v>0</v>
      </c>
      <c r="DP190">
        <v>1</v>
      </c>
      <c r="DQ190">
        <v>1</v>
      </c>
      <c r="DU190">
        <v>1010</v>
      </c>
      <c r="DV190" t="s">
        <v>189</v>
      </c>
      <c r="DW190" t="s">
        <v>189</v>
      </c>
      <c r="DX190">
        <v>100</v>
      </c>
      <c r="DZ190" t="s">
        <v>3</v>
      </c>
      <c r="EA190" t="s">
        <v>3</v>
      </c>
      <c r="EB190" t="s">
        <v>3</v>
      </c>
      <c r="EC190" t="s">
        <v>3</v>
      </c>
      <c r="EE190">
        <v>76282301</v>
      </c>
      <c r="EF190">
        <v>40</v>
      </c>
      <c r="EG190" t="s">
        <v>20</v>
      </c>
      <c r="EH190">
        <v>0</v>
      </c>
      <c r="EI190" t="s">
        <v>3</v>
      </c>
      <c r="EJ190">
        <v>2</v>
      </c>
      <c r="EK190">
        <v>67</v>
      </c>
      <c r="EL190" t="s">
        <v>21</v>
      </c>
      <c r="EM190" t="s">
        <v>22</v>
      </c>
      <c r="EO190" t="s">
        <v>283</v>
      </c>
      <c r="EQ190">
        <v>131072</v>
      </c>
      <c r="ER190">
        <v>1267.94</v>
      </c>
      <c r="ES190">
        <v>109.58</v>
      </c>
      <c r="ET190">
        <v>52.1</v>
      </c>
      <c r="EU190">
        <v>7.07</v>
      </c>
      <c r="EV190">
        <v>1106.26</v>
      </c>
      <c r="EW190">
        <v>84.74</v>
      </c>
      <c r="EX190">
        <v>0</v>
      </c>
      <c r="EY190">
        <v>0</v>
      </c>
      <c r="FQ190">
        <v>0</v>
      </c>
      <c r="FR190">
        <v>0</v>
      </c>
      <c r="FS190">
        <v>0</v>
      </c>
      <c r="FX190">
        <v>97</v>
      </c>
      <c r="FY190">
        <v>51</v>
      </c>
      <c r="GA190" t="s">
        <v>3</v>
      </c>
      <c r="GD190">
        <v>1</v>
      </c>
      <c r="GF190">
        <v>-1607161562</v>
      </c>
      <c r="GG190">
        <v>2</v>
      </c>
      <c r="GH190">
        <v>0</v>
      </c>
      <c r="GI190">
        <v>2</v>
      </c>
      <c r="GJ190">
        <v>0</v>
      </c>
      <c r="GK190">
        <v>0</v>
      </c>
      <c r="GL190">
        <f t="shared" si="160"/>
        <v>0</v>
      </c>
      <c r="GM190">
        <f t="shared" si="161"/>
        <v>10089.790000000001</v>
      </c>
      <c r="GN190">
        <f t="shared" si="162"/>
        <v>0</v>
      </c>
      <c r="GO190">
        <f t="shared" si="163"/>
        <v>10089.790000000001</v>
      </c>
      <c r="GP190">
        <f t="shared" si="164"/>
        <v>0</v>
      </c>
      <c r="GR190">
        <v>0</v>
      </c>
      <c r="GS190">
        <v>7</v>
      </c>
      <c r="GT190">
        <v>0</v>
      </c>
      <c r="GU190" t="s">
        <v>3</v>
      </c>
      <c r="GV190">
        <f t="shared" si="165"/>
        <v>0</v>
      </c>
      <c r="GW190">
        <v>1</v>
      </c>
      <c r="GX190">
        <f t="shared" si="166"/>
        <v>0</v>
      </c>
      <c r="HA190">
        <v>0</v>
      </c>
      <c r="HB190">
        <v>0</v>
      </c>
      <c r="HC190">
        <f t="shared" si="167"/>
        <v>0</v>
      </c>
      <c r="HE190" t="s">
        <v>3</v>
      </c>
      <c r="HF190" t="s">
        <v>3</v>
      </c>
      <c r="HM190" t="s">
        <v>3</v>
      </c>
      <c r="HN190" t="s">
        <v>3</v>
      </c>
      <c r="HO190" t="s">
        <v>3</v>
      </c>
      <c r="HP190" t="s">
        <v>3</v>
      </c>
      <c r="HQ190" t="s">
        <v>3</v>
      </c>
      <c r="HS190">
        <v>0</v>
      </c>
      <c r="IK190">
        <v>0</v>
      </c>
    </row>
    <row r="191" spans="1:245">
      <c r="A191">
        <v>18</v>
      </c>
      <c r="B191">
        <v>1</v>
      </c>
      <c r="E191" t="s">
        <v>352</v>
      </c>
      <c r="F191" t="s">
        <v>353</v>
      </c>
      <c r="G191" t="s">
        <v>354</v>
      </c>
      <c r="H191" t="s">
        <v>32</v>
      </c>
      <c r="I191">
        <f>I190*J191</f>
        <v>5</v>
      </c>
      <c r="J191">
        <v>100</v>
      </c>
      <c r="K191">
        <v>100</v>
      </c>
      <c r="O191">
        <f t="shared" si="143"/>
        <v>0</v>
      </c>
      <c r="P191">
        <f t="shared" si="144"/>
        <v>0</v>
      </c>
      <c r="Q191">
        <f>(ROUND((ROUND(((ET191)*AV191*I191),2)*BB191),2)+ROUND((ROUND(((AE191-(EU191))*AV191*I191),2)*BS191),2))</f>
        <v>0</v>
      </c>
      <c r="R191">
        <f>(ROUND((ROUND(((EU191)*AV191*I191),2)*BS191),2)+ROUND((ROUND(((AE191-(EU191))*AV191*I191),2)*BS191),2))</f>
        <v>0</v>
      </c>
      <c r="S191">
        <f t="shared" si="145"/>
        <v>0</v>
      </c>
      <c r="T191">
        <f t="shared" si="146"/>
        <v>0</v>
      </c>
      <c r="U191">
        <f t="shared" si="147"/>
        <v>0</v>
      </c>
      <c r="V191">
        <f t="shared" si="148"/>
        <v>0</v>
      </c>
      <c r="W191">
        <f t="shared" si="149"/>
        <v>0</v>
      </c>
      <c r="X191">
        <f>(ROUND((((S191+ROUND((ROUND(((EU191)*AV191*I191),2)*BS191),2))*AT191)/100),2)+ROUND(((ROUND((ROUND(((AE191-(EU191))*AV191*I191),2)*BS191),2)*AT191)/100),2))</f>
        <v>0</v>
      </c>
      <c r="Y191">
        <f>(ROUND((((S191+ROUND((ROUND(((EU191)*AV191*I191),2)*BS191),2))*AU191)/100),2)+ROUND(((ROUND((ROUND(((AE191-(EU191))*AV191*I191),2)*BS191),2)*AU191)/100),2))</f>
        <v>0</v>
      </c>
      <c r="AA191">
        <v>76282491</v>
      </c>
      <c r="AB191">
        <f t="shared" si="150"/>
        <v>0</v>
      </c>
      <c r="AC191">
        <f>ROUND((ES191),6)</f>
        <v>0</v>
      </c>
      <c r="AD191">
        <f>ROUND((((ET191)-(EU191))+AE191),6)</f>
        <v>0</v>
      </c>
      <c r="AE191">
        <f>ROUND((EU191),6)</f>
        <v>0</v>
      </c>
      <c r="AF191">
        <f>ROUND((EV191),6)</f>
        <v>0</v>
      </c>
      <c r="AG191">
        <f t="shared" si="151"/>
        <v>0</v>
      </c>
      <c r="AH191">
        <f>(EW191)</f>
        <v>0</v>
      </c>
      <c r="AI191">
        <f>(EX191)</f>
        <v>0</v>
      </c>
      <c r="AJ191">
        <f t="shared" si="152"/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97</v>
      </c>
      <c r="AU191">
        <v>51</v>
      </c>
      <c r="AV191">
        <v>1</v>
      </c>
      <c r="AW191">
        <v>1</v>
      </c>
      <c r="AZ191">
        <v>1</v>
      </c>
      <c r="BA191">
        <v>1</v>
      </c>
      <c r="BB191">
        <v>1</v>
      </c>
      <c r="BC191">
        <v>1</v>
      </c>
      <c r="BD191" t="s">
        <v>3</v>
      </c>
      <c r="BE191" t="s">
        <v>3</v>
      </c>
      <c r="BF191" t="s">
        <v>3</v>
      </c>
      <c r="BG191" t="s">
        <v>3</v>
      </c>
      <c r="BH191">
        <v>3</v>
      </c>
      <c r="BI191">
        <v>2</v>
      </c>
      <c r="BJ191" t="s">
        <v>3</v>
      </c>
      <c r="BM191">
        <v>67</v>
      </c>
      <c r="BN191">
        <v>0</v>
      </c>
      <c r="BO191" t="s">
        <v>3</v>
      </c>
      <c r="BP191">
        <v>0</v>
      </c>
      <c r="BQ191">
        <v>40</v>
      </c>
      <c r="BR191">
        <v>0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 t="s">
        <v>3</v>
      </c>
      <c r="BZ191">
        <v>97</v>
      </c>
      <c r="CA191">
        <v>51</v>
      </c>
      <c r="CB191" t="s">
        <v>3</v>
      </c>
      <c r="CE191">
        <v>1566</v>
      </c>
      <c r="CF191">
        <v>0</v>
      </c>
      <c r="CG191">
        <v>0</v>
      </c>
      <c r="CM191">
        <v>0</v>
      </c>
      <c r="CN191" t="s">
        <v>456</v>
      </c>
      <c r="CO191">
        <v>0</v>
      </c>
      <c r="CP191">
        <f t="shared" si="153"/>
        <v>0</v>
      </c>
      <c r="CQ191">
        <f t="shared" si="154"/>
        <v>0</v>
      </c>
      <c r="CR191">
        <f>(ROUND((ROUND(((ET191)*AV191*1),2)*BB191),2)+ROUND((ROUND(((AE191-(EU191))*AV191*1),2)*BS191),2))</f>
        <v>0</v>
      </c>
      <c r="CS191">
        <f>(ROUND((ROUND(((EU191)*AV191*1),2)*BS191),2)+ROUND((ROUND(((AE191-(EU191))*AV191*1),2)*BS191),2))</f>
        <v>0</v>
      </c>
      <c r="CT191">
        <f t="shared" si="155"/>
        <v>0</v>
      </c>
      <c r="CU191">
        <f t="shared" si="156"/>
        <v>0</v>
      </c>
      <c r="CV191">
        <f t="shared" si="157"/>
        <v>0</v>
      </c>
      <c r="CW191">
        <f t="shared" si="158"/>
        <v>0</v>
      </c>
      <c r="CX191">
        <f t="shared" si="159"/>
        <v>0</v>
      </c>
      <c r="CY191">
        <f>(ROUND((((S191+ROUND((ROUND(((EU191)*AV191*1),2)*BS191),2))*AT191)/100),2)+ROUND(((ROUND((ROUND(((AE191-(EU191))*AV191*1),2)*BS191),2)*AT191)/100),2))</f>
        <v>0</v>
      </c>
      <c r="CZ191">
        <f>(ROUND((((S191+ROUND((ROUND(((EU191)*AV191*1),2)*BS191),2))*AU191)/100),2)+ROUND(((ROUND((ROUND(((AE191-(EU191))*AV191*1),2)*BS191),2)*AU191)/100),2))</f>
        <v>0</v>
      </c>
      <c r="DC191" t="s">
        <v>3</v>
      </c>
      <c r="DD191" t="s">
        <v>3</v>
      </c>
      <c r="DE191" t="s">
        <v>3</v>
      </c>
      <c r="DF191" t="s">
        <v>3</v>
      </c>
      <c r="DG191" t="s">
        <v>3</v>
      </c>
      <c r="DH191" t="s">
        <v>3</v>
      </c>
      <c r="DI191" t="s">
        <v>3</v>
      </c>
      <c r="DJ191" t="s">
        <v>3</v>
      </c>
      <c r="DK191" t="s">
        <v>3</v>
      </c>
      <c r="DL191" t="s">
        <v>3</v>
      </c>
      <c r="DM191" t="s">
        <v>3</v>
      </c>
      <c r="DN191">
        <v>0</v>
      </c>
      <c r="DO191">
        <v>0</v>
      </c>
      <c r="DP191">
        <v>1</v>
      </c>
      <c r="DQ191">
        <v>1</v>
      </c>
      <c r="DU191">
        <v>1010</v>
      </c>
      <c r="DV191" t="s">
        <v>32</v>
      </c>
      <c r="DW191" t="s">
        <v>32</v>
      </c>
      <c r="DX191">
        <v>1</v>
      </c>
      <c r="DZ191" t="s">
        <v>3</v>
      </c>
      <c r="EA191" t="s">
        <v>3</v>
      </c>
      <c r="EB191" t="s">
        <v>3</v>
      </c>
      <c r="EC191" t="s">
        <v>3</v>
      </c>
      <c r="EE191">
        <v>76282301</v>
      </c>
      <c r="EF191">
        <v>40</v>
      </c>
      <c r="EG191" t="s">
        <v>20</v>
      </c>
      <c r="EH191">
        <v>0</v>
      </c>
      <c r="EI191" t="s">
        <v>3</v>
      </c>
      <c r="EJ191">
        <v>2</v>
      </c>
      <c r="EK191">
        <v>67</v>
      </c>
      <c r="EL191" t="s">
        <v>21</v>
      </c>
      <c r="EM191" t="s">
        <v>22</v>
      </c>
      <c r="EO191" t="s">
        <v>287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FQ191">
        <v>0</v>
      </c>
      <c r="FR191">
        <v>0</v>
      </c>
      <c r="FS191">
        <v>0</v>
      </c>
      <c r="FX191">
        <v>97</v>
      </c>
      <c r="FY191">
        <v>51</v>
      </c>
      <c r="GA191" t="s">
        <v>3</v>
      </c>
      <c r="GD191">
        <v>1</v>
      </c>
      <c r="GF191">
        <v>-621963447</v>
      </c>
      <c r="GG191">
        <v>2</v>
      </c>
      <c r="GH191">
        <v>0</v>
      </c>
      <c r="GI191">
        <v>-2</v>
      </c>
      <c r="GJ191">
        <v>0</v>
      </c>
      <c r="GK191">
        <v>0</v>
      </c>
      <c r="GL191">
        <f t="shared" si="160"/>
        <v>0</v>
      </c>
      <c r="GM191">
        <f t="shared" si="161"/>
        <v>0</v>
      </c>
      <c r="GN191">
        <f t="shared" si="162"/>
        <v>0</v>
      </c>
      <c r="GO191">
        <f t="shared" si="163"/>
        <v>0</v>
      </c>
      <c r="GP191">
        <f t="shared" si="164"/>
        <v>0</v>
      </c>
      <c r="GR191">
        <v>0</v>
      </c>
      <c r="GS191">
        <v>0</v>
      </c>
      <c r="GT191">
        <v>0</v>
      </c>
      <c r="GU191" t="s">
        <v>3</v>
      </c>
      <c r="GV191">
        <f t="shared" si="165"/>
        <v>0</v>
      </c>
      <c r="GW191">
        <v>1</v>
      </c>
      <c r="GX191">
        <f t="shared" si="166"/>
        <v>0</v>
      </c>
      <c r="HA191">
        <v>0</v>
      </c>
      <c r="HB191">
        <v>0</v>
      </c>
      <c r="HC191">
        <f t="shared" si="167"/>
        <v>0</v>
      </c>
      <c r="HE191" t="s">
        <v>3</v>
      </c>
      <c r="HF191" t="s">
        <v>3</v>
      </c>
      <c r="HM191" t="s">
        <v>280</v>
      </c>
      <c r="HN191" t="s">
        <v>3</v>
      </c>
      <c r="HO191" t="s">
        <v>3</v>
      </c>
      <c r="HP191" t="s">
        <v>3</v>
      </c>
      <c r="HQ191" t="s">
        <v>3</v>
      </c>
      <c r="HS191">
        <v>0</v>
      </c>
      <c r="IK191">
        <v>0</v>
      </c>
    </row>
    <row r="192" spans="1:245">
      <c r="A192">
        <v>17</v>
      </c>
      <c r="B192">
        <v>1</v>
      </c>
      <c r="E192" t="s">
        <v>355</v>
      </c>
      <c r="F192" t="s">
        <v>356</v>
      </c>
      <c r="G192" t="s">
        <v>457</v>
      </c>
      <c r="H192" t="s">
        <v>32</v>
      </c>
      <c r="I192">
        <v>5</v>
      </c>
      <c r="J192">
        <v>0</v>
      </c>
      <c r="K192">
        <v>5</v>
      </c>
      <c r="O192">
        <f t="shared" ref="O192:O208" si="186">ROUND(CP192,2)</f>
        <v>42685.89</v>
      </c>
      <c r="P192">
        <f t="shared" ref="P192:P208" si="187">ROUND((ROUND((AC192*AW192*I192),2)*BC192),2)</f>
        <v>42685.89</v>
      </c>
      <c r="Q192">
        <f>(ROUND((ROUND(((ET192)*AV192*I192),2)*BB192),2)+ROUND((ROUND(((AE192-(EU192))*AV192*I192),2)*BS192),2))</f>
        <v>0</v>
      </c>
      <c r="R192">
        <f>(ROUND((ROUND(((EU192)*AV192*I192),2)*BS192),2)+ROUND((ROUND(((AE192-(EU192))*AV192*I192),2)*BS192),2))</f>
        <v>0</v>
      </c>
      <c r="S192">
        <f t="shared" ref="S192:S208" si="188">ROUND((ROUND((AF192*AV192*I192),2)*BA192),2)</f>
        <v>0</v>
      </c>
      <c r="T192">
        <f t="shared" ref="T192:T208" si="189">ROUND(CU192*I192,2)</f>
        <v>0</v>
      </c>
      <c r="U192">
        <f t="shared" ref="U192:U208" si="190">CV192*I192</f>
        <v>0</v>
      </c>
      <c r="V192">
        <f t="shared" ref="V192:V208" si="191">CW192*I192</f>
        <v>0</v>
      </c>
      <c r="W192">
        <f t="shared" ref="W192:W208" si="192">ROUND(CX192*I192,2)</f>
        <v>0</v>
      </c>
      <c r="X192">
        <f>(ROUND((((S192+ROUND((ROUND(((EU192)*AV192*I192),2)*BS192),2))*AT192)/100),2)+ROUND(((ROUND((ROUND(((AE192-(EU192))*AV192*I192),2)*BS192),2)*AT192)/100),2))</f>
        <v>0</v>
      </c>
      <c r="Y192">
        <f>(ROUND((((S192+ROUND((ROUND(((EU192)*AV192*I192),2)*BS192),2))*AU192)/100),2)+ROUND(((ROUND((ROUND(((AE192-(EU192))*AV192*I192),2)*BS192),2)*AU192)/100),2))</f>
        <v>0</v>
      </c>
      <c r="AA192">
        <v>76282491</v>
      </c>
      <c r="AB192">
        <f t="shared" ref="AB192:AB208" si="193">ROUND((AC192+AD192+AF192),6)</f>
        <v>1390.42</v>
      </c>
      <c r="AC192">
        <f>ROUND((ES192),6)</f>
        <v>1390.42</v>
      </c>
      <c r="AD192">
        <f>ROUND((((ET192)-(EU192))+AE192),6)</f>
        <v>0</v>
      </c>
      <c r="AE192">
        <f>ROUND((EU192),6)</f>
        <v>0</v>
      </c>
      <c r="AF192">
        <f>ROUND((EV192),6)</f>
        <v>0</v>
      </c>
      <c r="AG192">
        <f t="shared" ref="AG192:AG208" si="194">ROUND((AP192),6)</f>
        <v>0</v>
      </c>
      <c r="AH192">
        <f>(EW192)</f>
        <v>0</v>
      </c>
      <c r="AI192">
        <f>(EX192)</f>
        <v>0</v>
      </c>
      <c r="AJ192">
        <f t="shared" ref="AJ192:AJ208" si="195">(AS192)</f>
        <v>0</v>
      </c>
      <c r="AK192">
        <v>1390.42</v>
      </c>
      <c r="AL192">
        <v>1390.42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1</v>
      </c>
      <c r="AZ192">
        <v>1</v>
      </c>
      <c r="BA192">
        <v>1</v>
      </c>
      <c r="BB192">
        <v>1</v>
      </c>
      <c r="BC192">
        <v>6.14</v>
      </c>
      <c r="BD192" t="s">
        <v>3</v>
      </c>
      <c r="BE192" t="s">
        <v>3</v>
      </c>
      <c r="BF192" t="s">
        <v>3</v>
      </c>
      <c r="BG192" t="s">
        <v>3</v>
      </c>
      <c r="BH192">
        <v>3</v>
      </c>
      <c r="BI192">
        <v>2</v>
      </c>
      <c r="BJ192" t="s">
        <v>357</v>
      </c>
      <c r="BM192">
        <v>1618</v>
      </c>
      <c r="BN192">
        <v>0</v>
      </c>
      <c r="BO192" t="s">
        <v>356</v>
      </c>
      <c r="BP192">
        <v>1</v>
      </c>
      <c r="BQ192">
        <v>201</v>
      </c>
      <c r="BR192">
        <v>0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 t="s">
        <v>3</v>
      </c>
      <c r="BZ192">
        <v>0</v>
      </c>
      <c r="CA192">
        <v>0</v>
      </c>
      <c r="CB192" t="s">
        <v>3</v>
      </c>
      <c r="CE192">
        <v>1566</v>
      </c>
      <c r="CF192">
        <v>0</v>
      </c>
      <c r="CG192">
        <v>0</v>
      </c>
      <c r="CM192">
        <v>0</v>
      </c>
      <c r="CN192" t="s">
        <v>3</v>
      </c>
      <c r="CO192">
        <v>0</v>
      </c>
      <c r="CP192">
        <f t="shared" ref="CP192:CP208" si="196">(P192+Q192+S192)</f>
        <v>42685.89</v>
      </c>
      <c r="CQ192">
        <f t="shared" ref="CQ192:CQ208" si="197">ROUND((ROUND((AC192*AW192*1),2)*BC192),2)</f>
        <v>8537.18</v>
      </c>
      <c r="CR192">
        <f>(ROUND((ROUND(((ET192)*AV192*1),2)*BB192),2)+ROUND((ROUND(((AE192-(EU192))*AV192*1),2)*BS192),2))</f>
        <v>0</v>
      </c>
      <c r="CS192">
        <f>(ROUND((ROUND(((EU192)*AV192*1),2)*BS192),2)+ROUND((ROUND(((AE192-(EU192))*AV192*1),2)*BS192),2))</f>
        <v>0</v>
      </c>
      <c r="CT192">
        <f t="shared" ref="CT192:CT208" si="198">ROUND((ROUND((AF192*AV192*1),2)*BA192),2)</f>
        <v>0</v>
      </c>
      <c r="CU192">
        <f t="shared" ref="CU192:CU208" si="199">AG192</f>
        <v>0</v>
      </c>
      <c r="CV192">
        <f t="shared" ref="CV192:CV208" si="200">(AH192*AV192)</f>
        <v>0</v>
      </c>
      <c r="CW192">
        <f t="shared" ref="CW192:CW208" si="201">AI192</f>
        <v>0</v>
      </c>
      <c r="CX192">
        <f t="shared" ref="CX192:CX208" si="202">AJ192</f>
        <v>0</v>
      </c>
      <c r="CY192">
        <f>(ROUND((((S192+ROUND((ROUND(((EU192)*AV192*1),2)*BS192),2))*AT192)/100),2)+ROUND(((ROUND((ROUND(((AE192-(EU192))*AV192*1),2)*BS192),2)*AT192)/100),2))</f>
        <v>0</v>
      </c>
      <c r="CZ192">
        <f>(ROUND((((S192+ROUND((ROUND(((EU192)*AV192*1),2)*BS192),2))*AU192)/100),2)+ROUND(((ROUND((ROUND(((AE192-(EU192))*AV192*1),2)*BS192),2)*AU192)/100),2))</f>
        <v>0</v>
      </c>
      <c r="DC192" t="s">
        <v>3</v>
      </c>
      <c r="DD192" t="s">
        <v>3</v>
      </c>
      <c r="DE192" t="s">
        <v>3</v>
      </c>
      <c r="DF192" t="s">
        <v>3</v>
      </c>
      <c r="DG192" t="s">
        <v>3</v>
      </c>
      <c r="DH192" t="s">
        <v>3</v>
      </c>
      <c r="DI192" t="s">
        <v>3</v>
      </c>
      <c r="DJ192" t="s">
        <v>3</v>
      </c>
      <c r="DK192" t="s">
        <v>3</v>
      </c>
      <c r="DL192" t="s">
        <v>3</v>
      </c>
      <c r="DM192" t="s">
        <v>3</v>
      </c>
      <c r="DN192">
        <v>0</v>
      </c>
      <c r="DO192">
        <v>0</v>
      </c>
      <c r="DP192">
        <v>1</v>
      </c>
      <c r="DQ192">
        <v>1</v>
      </c>
      <c r="DU192">
        <v>1010</v>
      </c>
      <c r="DV192" t="s">
        <v>32</v>
      </c>
      <c r="DW192" t="s">
        <v>32</v>
      </c>
      <c r="DX192">
        <v>1</v>
      </c>
      <c r="DZ192" t="s">
        <v>3</v>
      </c>
      <c r="EA192" t="s">
        <v>3</v>
      </c>
      <c r="EB192" t="s">
        <v>3</v>
      </c>
      <c r="EC192" t="s">
        <v>3</v>
      </c>
      <c r="EE192">
        <v>76282429</v>
      </c>
      <c r="EF192">
        <v>201</v>
      </c>
      <c r="EG192" t="s">
        <v>294</v>
      </c>
      <c r="EH192">
        <v>0</v>
      </c>
      <c r="EI192" t="s">
        <v>3</v>
      </c>
      <c r="EJ192">
        <v>2</v>
      </c>
      <c r="EK192">
        <v>1618</v>
      </c>
      <c r="EL192" t="s">
        <v>295</v>
      </c>
      <c r="EM192" t="s">
        <v>296</v>
      </c>
      <c r="EO192" t="s">
        <v>3</v>
      </c>
      <c r="EQ192">
        <v>131072</v>
      </c>
      <c r="ER192">
        <v>1390.42</v>
      </c>
      <c r="ES192">
        <v>1390.42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FQ192">
        <v>0</v>
      </c>
      <c r="FR192">
        <v>0</v>
      </c>
      <c r="FS192">
        <v>0</v>
      </c>
      <c r="FX192">
        <v>0</v>
      </c>
      <c r="FY192">
        <v>0</v>
      </c>
      <c r="GA192" t="s">
        <v>3</v>
      </c>
      <c r="GD192">
        <v>1</v>
      </c>
      <c r="GF192">
        <v>-1325244320</v>
      </c>
      <c r="GG192">
        <v>2</v>
      </c>
      <c r="GH192">
        <v>0</v>
      </c>
      <c r="GI192">
        <v>2</v>
      </c>
      <c r="GJ192">
        <v>0</v>
      </c>
      <c r="GK192">
        <v>0</v>
      </c>
      <c r="GL192">
        <f t="shared" ref="GL192:GL208" si="203">ROUND(IF(AND(BH192=3,BI192=3,FS192&lt;&gt;0),P192,0),2)</f>
        <v>0</v>
      </c>
      <c r="GM192">
        <f t="shared" ref="GM192:GM208" si="204">ROUND(O192+X192+Y192,2)+GX192</f>
        <v>42685.89</v>
      </c>
      <c r="GN192">
        <f t="shared" ref="GN192:GN208" si="205">IF(OR(BI192=0,BI192=1),GM192-GX192,0)</f>
        <v>0</v>
      </c>
      <c r="GO192">
        <f t="shared" ref="GO192:GO208" si="206">IF(BI192=2,GM192-GX192,0)</f>
        <v>42685.89</v>
      </c>
      <c r="GP192">
        <f t="shared" ref="GP192:GP208" si="207">IF(BI192=4,GM192-GX192,0)</f>
        <v>0</v>
      </c>
      <c r="GR192">
        <v>0</v>
      </c>
      <c r="GS192">
        <v>0</v>
      </c>
      <c r="GT192">
        <v>0</v>
      </c>
      <c r="GU192" t="s">
        <v>3</v>
      </c>
      <c r="GV192">
        <f t="shared" ref="GV192:GV208" si="208">ROUND((GT192),6)</f>
        <v>0</v>
      </c>
      <c r="GW192">
        <v>1</v>
      </c>
      <c r="GX192">
        <f t="shared" ref="GX192:GX208" si="209">ROUND(HC192*I192,2)</f>
        <v>0</v>
      </c>
      <c r="HA192">
        <v>0</v>
      </c>
      <c r="HB192">
        <v>0</v>
      </c>
      <c r="HC192">
        <f t="shared" ref="HC192:HC208" si="210">GV192*GW192</f>
        <v>0</v>
      </c>
      <c r="HE192" t="s">
        <v>3</v>
      </c>
      <c r="HF192" t="s">
        <v>3</v>
      </c>
      <c r="HM192" t="s">
        <v>3</v>
      </c>
      <c r="HN192" t="s">
        <v>3</v>
      </c>
      <c r="HO192" t="s">
        <v>3</v>
      </c>
      <c r="HP192" t="s">
        <v>3</v>
      </c>
      <c r="HQ192" t="s">
        <v>3</v>
      </c>
      <c r="HS192">
        <v>0</v>
      </c>
      <c r="IK192">
        <v>0</v>
      </c>
    </row>
    <row r="193" spans="1:245">
      <c r="A193">
        <v>17</v>
      </c>
      <c r="B193">
        <v>1</v>
      </c>
      <c r="E193" t="s">
        <v>358</v>
      </c>
      <c r="F193" t="s">
        <v>359</v>
      </c>
      <c r="G193" t="s">
        <v>360</v>
      </c>
      <c r="H193" t="s">
        <v>189</v>
      </c>
      <c r="I193">
        <f>ROUND((5)/100,9)</f>
        <v>0.05</v>
      </c>
      <c r="J193">
        <v>0</v>
      </c>
      <c r="K193">
        <f>ROUND((5)/100,9)</f>
        <v>0.05</v>
      </c>
      <c r="O193">
        <f t="shared" si="186"/>
        <v>4842.6499999999996</v>
      </c>
      <c r="P193">
        <f t="shared" si="187"/>
        <v>0.3</v>
      </c>
      <c r="Q193">
        <f>(ROUND((ROUND(((((ET193*1.2)*1))*AV193*I193),2)*BB193),2)+ROUND((ROUND(((AE193-(((EU193*1.2)*1)))*AV193*I193),2)*BS193),2))</f>
        <v>2.64</v>
      </c>
      <c r="R193">
        <f>(ROUND((ROUND(((((EU193*1.2)*1))*AV193*I193),2)*BS193),2)+ROUND((ROUND(((AE193-(((EU193*1.2)*1)))*AV193*I193),2)*BS193),2))</f>
        <v>1.1599999999999999</v>
      </c>
      <c r="S193">
        <f t="shared" si="188"/>
        <v>4839.71</v>
      </c>
      <c r="T193">
        <f t="shared" si="189"/>
        <v>0</v>
      </c>
      <c r="U193">
        <f t="shared" si="190"/>
        <v>5.9780700000000007</v>
      </c>
      <c r="V193">
        <f t="shared" si="191"/>
        <v>0</v>
      </c>
      <c r="W193">
        <f t="shared" si="192"/>
        <v>0</v>
      </c>
      <c r="X193">
        <f>(ROUND((((S193+ROUND((ROUND(((((EU193*1.2)*1))*AV193*I193),2)*BS193),2))*AT193)/100),2)+ROUND(((ROUND((ROUND(((AE193-(((EU193*1.2)*1)))*AV193*I193),2)*BS193),2)*AT193)/100),2))</f>
        <v>4695.6400000000003</v>
      </c>
      <c r="Y193">
        <f>(ROUND((((S193+ROUND((ROUND(((((EU193*1.2)*1))*AV193*I193),2)*BS193),2))*AU193)/100),2)+ROUND(((ROUND((ROUND(((AE193-(((EU193*1.2)*1)))*AV193*I193),2)*BS193),2)*AU193)/100),2))</f>
        <v>2468.84</v>
      </c>
      <c r="AA193">
        <v>76282491</v>
      </c>
      <c r="AB193">
        <f t="shared" si="193"/>
        <v>1681.4276</v>
      </c>
      <c r="AC193">
        <f>ROUND((((ES193*1)*1)),6)</f>
        <v>1.28</v>
      </c>
      <c r="AD193">
        <f>ROUND((((((ET193*1.2)*1))-(((EU193*1.2)*1)))+AE193),6)</f>
        <v>4.2720000000000002</v>
      </c>
      <c r="AE193">
        <f>ROUND((((EU193*1.2)*1)),6)</f>
        <v>0.3</v>
      </c>
      <c r="AF193">
        <f>ROUND((((EV193*1.2)*1.05)),6)</f>
        <v>1675.8756000000001</v>
      </c>
      <c r="AG193">
        <f t="shared" si="194"/>
        <v>0</v>
      </c>
      <c r="AH193">
        <f>(((EW193*1.2)*1.05))</f>
        <v>119.56140000000001</v>
      </c>
      <c r="AI193">
        <f>(((EX193*1.2)*1))</f>
        <v>0</v>
      </c>
      <c r="AJ193">
        <f t="shared" si="195"/>
        <v>0</v>
      </c>
      <c r="AK193">
        <v>1334.9</v>
      </c>
      <c r="AL193">
        <v>1.28</v>
      </c>
      <c r="AM193">
        <v>3.56</v>
      </c>
      <c r="AN193">
        <v>0.25</v>
      </c>
      <c r="AO193">
        <v>1330.06</v>
      </c>
      <c r="AP193">
        <v>0</v>
      </c>
      <c r="AQ193">
        <v>94.89</v>
      </c>
      <c r="AR193">
        <v>0</v>
      </c>
      <c r="AS193">
        <v>0</v>
      </c>
      <c r="AT193">
        <v>97</v>
      </c>
      <c r="AU193">
        <v>51</v>
      </c>
      <c r="AV193">
        <v>1</v>
      </c>
      <c r="AW193">
        <v>1</v>
      </c>
      <c r="AZ193">
        <v>1</v>
      </c>
      <c r="BA193">
        <v>57.76</v>
      </c>
      <c r="BB193">
        <v>12.56</v>
      </c>
      <c r="BC193">
        <v>4.9800000000000004</v>
      </c>
      <c r="BD193" t="s">
        <v>3</v>
      </c>
      <c r="BE193" t="s">
        <v>3</v>
      </c>
      <c r="BF193" t="s">
        <v>3</v>
      </c>
      <c r="BG193" t="s">
        <v>3</v>
      </c>
      <c r="BH193">
        <v>0</v>
      </c>
      <c r="BI193">
        <v>2</v>
      </c>
      <c r="BJ193" t="s">
        <v>361</v>
      </c>
      <c r="BM193">
        <v>67</v>
      </c>
      <c r="BN193">
        <v>0</v>
      </c>
      <c r="BO193" t="s">
        <v>359</v>
      </c>
      <c r="BP193">
        <v>1</v>
      </c>
      <c r="BQ193">
        <v>40</v>
      </c>
      <c r="BR193">
        <v>0</v>
      </c>
      <c r="BS193">
        <v>57.76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3</v>
      </c>
      <c r="BZ193">
        <v>97</v>
      </c>
      <c r="CA193">
        <v>51</v>
      </c>
      <c r="CB193" t="s">
        <v>3</v>
      </c>
      <c r="CE193">
        <v>1566</v>
      </c>
      <c r="CF193">
        <v>0</v>
      </c>
      <c r="CG193">
        <v>0</v>
      </c>
      <c r="CM193">
        <v>0</v>
      </c>
      <c r="CN193" t="s">
        <v>455</v>
      </c>
      <c r="CO193">
        <v>0</v>
      </c>
      <c r="CP193">
        <f t="shared" si="196"/>
        <v>4842.6499999999996</v>
      </c>
      <c r="CQ193">
        <f t="shared" si="197"/>
        <v>6.37</v>
      </c>
      <c r="CR193">
        <f>(ROUND((ROUND(((((ET193*1.2)*1))*AV193*1),2)*BB193),2)+ROUND((ROUND(((AE193-(((EU193*1.2)*1)))*AV193*1),2)*BS193),2))</f>
        <v>53.63</v>
      </c>
      <c r="CS193">
        <f>(ROUND((ROUND(((((EU193*1.2)*1))*AV193*1),2)*BS193),2)+ROUND((ROUND(((AE193-(((EU193*1.2)*1)))*AV193*1),2)*BS193),2))</f>
        <v>17.329999999999998</v>
      </c>
      <c r="CT193">
        <f t="shared" si="198"/>
        <v>96798.83</v>
      </c>
      <c r="CU193">
        <f t="shared" si="199"/>
        <v>0</v>
      </c>
      <c r="CV193">
        <f t="shared" si="200"/>
        <v>119.56140000000001</v>
      </c>
      <c r="CW193">
        <f t="shared" si="201"/>
        <v>0</v>
      </c>
      <c r="CX193">
        <f t="shared" si="202"/>
        <v>0</v>
      </c>
      <c r="CY193">
        <f>(ROUND((((S193+ROUND((ROUND(((((EU193*1.2)*1))*AV193*1),2)*BS193),2))*AT193)/100),2)+ROUND(((ROUND((ROUND(((AE193-(((EU193*1.2)*1)))*AV193*1),2)*BS193),2)*AT193)/100),2))</f>
        <v>4711.33</v>
      </c>
      <c r="CZ193">
        <f>(ROUND((((S193+ROUND((ROUND(((((EU193*1.2)*1))*AV193*1),2)*BS193),2))*AU193)/100),2)+ROUND(((ROUND((ROUND(((AE193-(((EU193*1.2)*1)))*AV193*1),2)*BS193),2)*AU193)/100),2))</f>
        <v>2477.09</v>
      </c>
      <c r="DB193">
        <v>27</v>
      </c>
      <c r="DC193" t="s">
        <v>3</v>
      </c>
      <c r="DD193" t="s">
        <v>280</v>
      </c>
      <c r="DE193" t="s">
        <v>281</v>
      </c>
      <c r="DF193" t="s">
        <v>281</v>
      </c>
      <c r="DG193" t="s">
        <v>282</v>
      </c>
      <c r="DH193" t="s">
        <v>3</v>
      </c>
      <c r="DI193" t="s">
        <v>282</v>
      </c>
      <c r="DJ193" t="s">
        <v>281</v>
      </c>
      <c r="DK193" t="s">
        <v>3</v>
      </c>
      <c r="DL193" t="s">
        <v>3</v>
      </c>
      <c r="DM193" t="s">
        <v>3</v>
      </c>
      <c r="DN193">
        <v>0</v>
      </c>
      <c r="DO193">
        <v>0</v>
      </c>
      <c r="DP193">
        <v>1</v>
      </c>
      <c r="DQ193">
        <v>1</v>
      </c>
      <c r="DU193">
        <v>1010</v>
      </c>
      <c r="DV193" t="s">
        <v>189</v>
      </c>
      <c r="DW193" t="s">
        <v>189</v>
      </c>
      <c r="DX193">
        <v>100</v>
      </c>
      <c r="DZ193" t="s">
        <v>3</v>
      </c>
      <c r="EA193" t="s">
        <v>3</v>
      </c>
      <c r="EB193" t="s">
        <v>3</v>
      </c>
      <c r="EC193" t="s">
        <v>3</v>
      </c>
      <c r="EE193">
        <v>76282301</v>
      </c>
      <c r="EF193">
        <v>40</v>
      </c>
      <c r="EG193" t="s">
        <v>20</v>
      </c>
      <c r="EH193">
        <v>0</v>
      </c>
      <c r="EI193" t="s">
        <v>3</v>
      </c>
      <c r="EJ193">
        <v>2</v>
      </c>
      <c r="EK193">
        <v>67</v>
      </c>
      <c r="EL193" t="s">
        <v>21</v>
      </c>
      <c r="EM193" t="s">
        <v>22</v>
      </c>
      <c r="EO193" t="s">
        <v>283</v>
      </c>
      <c r="EQ193">
        <v>131072</v>
      </c>
      <c r="ER193">
        <v>1334.9</v>
      </c>
      <c r="ES193">
        <v>1.28</v>
      </c>
      <c r="ET193">
        <v>3.56</v>
      </c>
      <c r="EU193">
        <v>0.25</v>
      </c>
      <c r="EV193">
        <v>1330.06</v>
      </c>
      <c r="EW193">
        <v>94.89</v>
      </c>
      <c r="EX193">
        <v>0</v>
      </c>
      <c r="EY193">
        <v>0</v>
      </c>
      <c r="FQ193">
        <v>0</v>
      </c>
      <c r="FR193">
        <v>0</v>
      </c>
      <c r="FS193">
        <v>0</v>
      </c>
      <c r="FX193">
        <v>97</v>
      </c>
      <c r="FY193">
        <v>51</v>
      </c>
      <c r="GA193" t="s">
        <v>3</v>
      </c>
      <c r="GD193">
        <v>1</v>
      </c>
      <c r="GF193">
        <v>-1919603788</v>
      </c>
      <c r="GG193">
        <v>2</v>
      </c>
      <c r="GH193">
        <v>0</v>
      </c>
      <c r="GI193">
        <v>2</v>
      </c>
      <c r="GJ193">
        <v>0</v>
      </c>
      <c r="GK193">
        <v>0</v>
      </c>
      <c r="GL193">
        <f t="shared" si="203"/>
        <v>0</v>
      </c>
      <c r="GM193">
        <f t="shared" si="204"/>
        <v>12007.13</v>
      </c>
      <c r="GN193">
        <f t="shared" si="205"/>
        <v>0</v>
      </c>
      <c r="GO193">
        <f t="shared" si="206"/>
        <v>12007.13</v>
      </c>
      <c r="GP193">
        <f t="shared" si="207"/>
        <v>0</v>
      </c>
      <c r="GR193">
        <v>0</v>
      </c>
      <c r="GS193">
        <v>7</v>
      </c>
      <c r="GT193">
        <v>0</v>
      </c>
      <c r="GU193" t="s">
        <v>3</v>
      </c>
      <c r="GV193">
        <f t="shared" si="208"/>
        <v>0</v>
      </c>
      <c r="GW193">
        <v>1</v>
      </c>
      <c r="GX193">
        <f t="shared" si="209"/>
        <v>0</v>
      </c>
      <c r="HA193">
        <v>0</v>
      </c>
      <c r="HB193">
        <v>0</v>
      </c>
      <c r="HC193">
        <f t="shared" si="210"/>
        <v>0</v>
      </c>
      <c r="HE193" t="s">
        <v>3</v>
      </c>
      <c r="HF193" t="s">
        <v>3</v>
      </c>
      <c r="HM193" t="s">
        <v>3</v>
      </c>
      <c r="HN193" t="s">
        <v>3</v>
      </c>
      <c r="HO193" t="s">
        <v>3</v>
      </c>
      <c r="HP193" t="s">
        <v>3</v>
      </c>
      <c r="HQ193" t="s">
        <v>3</v>
      </c>
      <c r="HS193">
        <v>0</v>
      </c>
      <c r="IK193">
        <v>0</v>
      </c>
    </row>
    <row r="194" spans="1:245">
      <c r="A194">
        <v>18</v>
      </c>
      <c r="B194">
        <v>1</v>
      </c>
      <c r="E194" t="s">
        <v>362</v>
      </c>
      <c r="F194" t="s">
        <v>363</v>
      </c>
      <c r="G194" t="s">
        <v>364</v>
      </c>
      <c r="H194" t="s">
        <v>32</v>
      </c>
      <c r="I194">
        <f>I193*J194</f>
        <v>5</v>
      </c>
      <c r="J194">
        <v>100</v>
      </c>
      <c r="K194">
        <v>100</v>
      </c>
      <c r="O194">
        <f t="shared" si="186"/>
        <v>589.15</v>
      </c>
      <c r="P194">
        <f t="shared" si="187"/>
        <v>589.15</v>
      </c>
      <c r="Q194">
        <f>(ROUND((ROUND(((ET194)*AV194*I194),2)*BB194),2)+ROUND((ROUND(((AE194-(EU194))*AV194*I194),2)*BS194),2))</f>
        <v>0</v>
      </c>
      <c r="R194">
        <f>(ROUND((ROUND(((EU194)*AV194*I194),2)*BS194),2)+ROUND((ROUND(((AE194-(EU194))*AV194*I194),2)*BS194),2))</f>
        <v>0</v>
      </c>
      <c r="S194">
        <f t="shared" si="188"/>
        <v>0</v>
      </c>
      <c r="T194">
        <f t="shared" si="189"/>
        <v>0</v>
      </c>
      <c r="U194">
        <f t="shared" si="190"/>
        <v>0</v>
      </c>
      <c r="V194">
        <f t="shared" si="191"/>
        <v>0</v>
      </c>
      <c r="W194">
        <f t="shared" si="192"/>
        <v>0</v>
      </c>
      <c r="X194">
        <f>(ROUND((((S194+ROUND((ROUND(((EU194)*AV194*I194),2)*BS194),2))*AT194)/100),2)+ROUND(((ROUND((ROUND(((AE194-(EU194))*AV194*I194),2)*BS194),2)*AT194)/100),2))</f>
        <v>0</v>
      </c>
      <c r="Y194">
        <f>(ROUND((((S194+ROUND((ROUND(((EU194)*AV194*I194),2)*BS194),2))*AU194)/100),2)+ROUND(((ROUND((ROUND(((AE194-(EU194))*AV194*I194),2)*BS194),2)*AU194)/100),2))</f>
        <v>0</v>
      </c>
      <c r="AA194">
        <v>76282491</v>
      </c>
      <c r="AB194">
        <f t="shared" si="193"/>
        <v>21.62</v>
      </c>
      <c r="AC194">
        <f>ROUND((ES194),6)</f>
        <v>21.62</v>
      </c>
      <c r="AD194">
        <f>ROUND((((ET194)-(EU194))+AE194),6)</f>
        <v>0</v>
      </c>
      <c r="AE194">
        <f>ROUND((EU194),6)</f>
        <v>0</v>
      </c>
      <c r="AF194">
        <f>ROUND((EV194),6)</f>
        <v>0</v>
      </c>
      <c r="AG194">
        <f t="shared" si="194"/>
        <v>0</v>
      </c>
      <c r="AH194">
        <f>(EW194)</f>
        <v>0</v>
      </c>
      <c r="AI194">
        <f>(EX194)</f>
        <v>0</v>
      </c>
      <c r="AJ194">
        <f t="shared" si="195"/>
        <v>0</v>
      </c>
      <c r="AK194">
        <v>21.62</v>
      </c>
      <c r="AL194">
        <v>21.62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97</v>
      </c>
      <c r="AU194">
        <v>51</v>
      </c>
      <c r="AV194">
        <v>1</v>
      </c>
      <c r="AW194">
        <v>1</v>
      </c>
      <c r="AZ194">
        <v>1</v>
      </c>
      <c r="BA194">
        <v>1</v>
      </c>
      <c r="BB194">
        <v>1</v>
      </c>
      <c r="BC194">
        <v>5.45</v>
      </c>
      <c r="BD194" t="s">
        <v>3</v>
      </c>
      <c r="BE194" t="s">
        <v>3</v>
      </c>
      <c r="BF194" t="s">
        <v>3</v>
      </c>
      <c r="BG194" t="s">
        <v>3</v>
      </c>
      <c r="BH194">
        <v>3</v>
      </c>
      <c r="BI194">
        <v>2</v>
      </c>
      <c r="BJ194" t="s">
        <v>365</v>
      </c>
      <c r="BM194">
        <v>67</v>
      </c>
      <c r="BN194">
        <v>0</v>
      </c>
      <c r="BO194" t="s">
        <v>363</v>
      </c>
      <c r="BP194">
        <v>1</v>
      </c>
      <c r="BQ194">
        <v>40</v>
      </c>
      <c r="BR194">
        <v>0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 t="s">
        <v>3</v>
      </c>
      <c r="BZ194">
        <v>97</v>
      </c>
      <c r="CA194">
        <v>51</v>
      </c>
      <c r="CB194" t="s">
        <v>3</v>
      </c>
      <c r="CE194">
        <v>1566</v>
      </c>
      <c r="CF194">
        <v>0</v>
      </c>
      <c r="CG194">
        <v>0</v>
      </c>
      <c r="CM194">
        <v>0</v>
      </c>
      <c r="CN194" t="s">
        <v>456</v>
      </c>
      <c r="CO194">
        <v>0</v>
      </c>
      <c r="CP194">
        <f t="shared" si="196"/>
        <v>589.15</v>
      </c>
      <c r="CQ194">
        <f t="shared" si="197"/>
        <v>117.83</v>
      </c>
      <c r="CR194">
        <f>(ROUND((ROUND(((ET194)*AV194*1),2)*BB194),2)+ROUND((ROUND(((AE194-(EU194))*AV194*1),2)*BS194),2))</f>
        <v>0</v>
      </c>
      <c r="CS194">
        <f>(ROUND((ROUND(((EU194)*AV194*1),2)*BS194),2)+ROUND((ROUND(((AE194-(EU194))*AV194*1),2)*BS194),2))</f>
        <v>0</v>
      </c>
      <c r="CT194">
        <f t="shared" si="198"/>
        <v>0</v>
      </c>
      <c r="CU194">
        <f t="shared" si="199"/>
        <v>0</v>
      </c>
      <c r="CV194">
        <f t="shared" si="200"/>
        <v>0</v>
      </c>
      <c r="CW194">
        <f t="shared" si="201"/>
        <v>0</v>
      </c>
      <c r="CX194">
        <f t="shared" si="202"/>
        <v>0</v>
      </c>
      <c r="CY194">
        <f>(ROUND((((S194+ROUND((ROUND(((EU194)*AV194*1),2)*BS194),2))*AT194)/100),2)+ROUND(((ROUND((ROUND(((AE194-(EU194))*AV194*1),2)*BS194),2)*AT194)/100),2))</f>
        <v>0</v>
      </c>
      <c r="CZ194">
        <f>(ROUND((((S194+ROUND((ROUND(((EU194)*AV194*1),2)*BS194),2))*AU194)/100),2)+ROUND(((ROUND((ROUND(((AE194-(EU194))*AV194*1),2)*BS194),2)*AU194)/100),2))</f>
        <v>0</v>
      </c>
      <c r="DC194" t="s">
        <v>3</v>
      </c>
      <c r="DD194" t="s">
        <v>3</v>
      </c>
      <c r="DE194" t="s">
        <v>3</v>
      </c>
      <c r="DF194" t="s">
        <v>3</v>
      </c>
      <c r="DG194" t="s">
        <v>3</v>
      </c>
      <c r="DH194" t="s">
        <v>3</v>
      </c>
      <c r="DI194" t="s">
        <v>3</v>
      </c>
      <c r="DJ194" t="s">
        <v>3</v>
      </c>
      <c r="DK194" t="s">
        <v>3</v>
      </c>
      <c r="DL194" t="s">
        <v>3</v>
      </c>
      <c r="DM194" t="s">
        <v>3</v>
      </c>
      <c r="DN194">
        <v>0</v>
      </c>
      <c r="DO194">
        <v>0</v>
      </c>
      <c r="DP194">
        <v>1</v>
      </c>
      <c r="DQ194">
        <v>1</v>
      </c>
      <c r="DU194">
        <v>1010</v>
      </c>
      <c r="DV194" t="s">
        <v>32</v>
      </c>
      <c r="DW194" t="s">
        <v>32</v>
      </c>
      <c r="DX194">
        <v>1</v>
      </c>
      <c r="DZ194" t="s">
        <v>3</v>
      </c>
      <c r="EA194" t="s">
        <v>3</v>
      </c>
      <c r="EB194" t="s">
        <v>3</v>
      </c>
      <c r="EC194" t="s">
        <v>3</v>
      </c>
      <c r="EE194">
        <v>76282301</v>
      </c>
      <c r="EF194">
        <v>40</v>
      </c>
      <c r="EG194" t="s">
        <v>20</v>
      </c>
      <c r="EH194">
        <v>0</v>
      </c>
      <c r="EI194" t="s">
        <v>3</v>
      </c>
      <c r="EJ194">
        <v>2</v>
      </c>
      <c r="EK194">
        <v>67</v>
      </c>
      <c r="EL194" t="s">
        <v>21</v>
      </c>
      <c r="EM194" t="s">
        <v>22</v>
      </c>
      <c r="EO194" t="s">
        <v>287</v>
      </c>
      <c r="EQ194">
        <v>0</v>
      </c>
      <c r="ER194">
        <v>21.62</v>
      </c>
      <c r="ES194">
        <v>21.62</v>
      </c>
      <c r="ET194">
        <v>0</v>
      </c>
      <c r="EU194">
        <v>0</v>
      </c>
      <c r="EV194">
        <v>0</v>
      </c>
      <c r="EW194">
        <v>0</v>
      </c>
      <c r="EX194">
        <v>0</v>
      </c>
      <c r="FQ194">
        <v>0</v>
      </c>
      <c r="FR194">
        <v>0</v>
      </c>
      <c r="FS194">
        <v>0</v>
      </c>
      <c r="FX194">
        <v>97</v>
      </c>
      <c r="FY194">
        <v>51</v>
      </c>
      <c r="GA194" t="s">
        <v>3</v>
      </c>
      <c r="GD194">
        <v>1</v>
      </c>
      <c r="GF194">
        <v>-126535965</v>
      </c>
      <c r="GG194">
        <v>2</v>
      </c>
      <c r="GH194">
        <v>0</v>
      </c>
      <c r="GI194">
        <v>2</v>
      </c>
      <c r="GJ194">
        <v>0</v>
      </c>
      <c r="GK194">
        <v>0</v>
      </c>
      <c r="GL194">
        <f t="shared" si="203"/>
        <v>0</v>
      </c>
      <c r="GM194">
        <f t="shared" si="204"/>
        <v>589.15</v>
      </c>
      <c r="GN194">
        <f t="shared" si="205"/>
        <v>0</v>
      </c>
      <c r="GO194">
        <f t="shared" si="206"/>
        <v>589.15</v>
      </c>
      <c r="GP194">
        <f t="shared" si="207"/>
        <v>0</v>
      </c>
      <c r="GR194">
        <v>0</v>
      </c>
      <c r="GS194">
        <v>0</v>
      </c>
      <c r="GT194">
        <v>0</v>
      </c>
      <c r="GU194" t="s">
        <v>3</v>
      </c>
      <c r="GV194">
        <f t="shared" si="208"/>
        <v>0</v>
      </c>
      <c r="GW194">
        <v>1</v>
      </c>
      <c r="GX194">
        <f t="shared" si="209"/>
        <v>0</v>
      </c>
      <c r="HA194">
        <v>0</v>
      </c>
      <c r="HB194">
        <v>0</v>
      </c>
      <c r="HC194">
        <f t="shared" si="210"/>
        <v>0</v>
      </c>
      <c r="HE194" t="s">
        <v>3</v>
      </c>
      <c r="HF194" t="s">
        <v>3</v>
      </c>
      <c r="HM194" t="s">
        <v>280</v>
      </c>
      <c r="HN194" t="s">
        <v>3</v>
      </c>
      <c r="HO194" t="s">
        <v>3</v>
      </c>
      <c r="HP194" t="s">
        <v>3</v>
      </c>
      <c r="HQ194" t="s">
        <v>3</v>
      </c>
      <c r="HS194">
        <v>0</v>
      </c>
      <c r="IK194">
        <v>0</v>
      </c>
    </row>
    <row r="195" spans="1:245">
      <c r="A195">
        <v>17</v>
      </c>
      <c r="B195">
        <v>1</v>
      </c>
      <c r="E195" t="s">
        <v>366</v>
      </c>
      <c r="F195" t="s">
        <v>367</v>
      </c>
      <c r="G195" t="s">
        <v>368</v>
      </c>
      <c r="H195" t="s">
        <v>369</v>
      </c>
      <c r="I195">
        <f>ROUND((15)/100,9)</f>
        <v>0.15</v>
      </c>
      <c r="J195">
        <v>0</v>
      </c>
      <c r="K195">
        <f>ROUND((15)/100,9)</f>
        <v>0.15</v>
      </c>
      <c r="O195">
        <f t="shared" si="186"/>
        <v>1593.82</v>
      </c>
      <c r="P195">
        <f t="shared" si="187"/>
        <v>45.27</v>
      </c>
      <c r="Q195">
        <f>(ROUND((ROUND((((ET195*1.2))*AV195*I195),2)*BB195),2)+ROUND((ROUND(((AE195-((EU195*1.2)))*AV195*I195),2)*BS195),2))</f>
        <v>0</v>
      </c>
      <c r="R195">
        <f>(ROUND((ROUND((((EU195*1.2))*AV195*I195),2)*BS195),2)+ROUND((ROUND(((AE195-((EU195*1.2)))*AV195*I195),2)*BS195),2))</f>
        <v>0</v>
      </c>
      <c r="S195">
        <f t="shared" si="188"/>
        <v>1548.55</v>
      </c>
      <c r="T195">
        <f t="shared" si="189"/>
        <v>0</v>
      </c>
      <c r="U195">
        <f t="shared" si="190"/>
        <v>2.0339999999999998</v>
      </c>
      <c r="V195">
        <f t="shared" si="191"/>
        <v>0</v>
      </c>
      <c r="W195">
        <f t="shared" si="192"/>
        <v>0</v>
      </c>
      <c r="X195">
        <f>(ROUND((((S195+ROUND((ROUND((((EU195*1.2))*AV195*I195),2)*BS195),2))*AT195)/100),2)+ROUND(((ROUND((ROUND(((AE195-((EU195*1.2)))*AV195*I195),2)*BS195),2)*AT195)/100),2))</f>
        <v>1393.7</v>
      </c>
      <c r="Y195">
        <f>(ROUND((((S195+ROUND((ROUND((((EU195*1.2))*AV195*I195),2)*BS195),2))*AU195)/100),2)+ROUND(((ROUND((ROUND(((AE195-((EU195*1.2)))*AV195*I195),2)*BS195),2)*AU195)/100),2))</f>
        <v>712.33</v>
      </c>
      <c r="AA195">
        <v>76282491</v>
      </c>
      <c r="AB195">
        <f t="shared" si="193"/>
        <v>193.52600000000001</v>
      </c>
      <c r="AC195">
        <f>ROUND(((ES195*1)),6)</f>
        <v>14.81</v>
      </c>
      <c r="AD195">
        <f>ROUND(((((ET195*1.2))-((EU195*1.2)))+AE195),6)</f>
        <v>0</v>
      </c>
      <c r="AE195">
        <f>ROUND(((EU195*1.2)),6)</f>
        <v>0</v>
      </c>
      <c r="AF195">
        <f>ROUND(((EV195*1.2)),6)</f>
        <v>178.71600000000001</v>
      </c>
      <c r="AG195">
        <f t="shared" si="194"/>
        <v>0</v>
      </c>
      <c r="AH195">
        <f>((EW195*1.2))</f>
        <v>13.56</v>
      </c>
      <c r="AI195">
        <f>((EX195*1.2))</f>
        <v>0</v>
      </c>
      <c r="AJ195">
        <f t="shared" si="195"/>
        <v>0</v>
      </c>
      <c r="AK195">
        <v>163.74</v>
      </c>
      <c r="AL195">
        <v>14.81</v>
      </c>
      <c r="AM195">
        <v>0</v>
      </c>
      <c r="AN195">
        <v>0</v>
      </c>
      <c r="AO195">
        <v>148.93</v>
      </c>
      <c r="AP195">
        <v>0</v>
      </c>
      <c r="AQ195">
        <v>11.3</v>
      </c>
      <c r="AR195">
        <v>0</v>
      </c>
      <c r="AS195">
        <v>0</v>
      </c>
      <c r="AT195">
        <v>90</v>
      </c>
      <c r="AU195">
        <v>46</v>
      </c>
      <c r="AV195">
        <v>1</v>
      </c>
      <c r="AW195">
        <v>1</v>
      </c>
      <c r="AZ195">
        <v>1</v>
      </c>
      <c r="BA195">
        <v>57.76</v>
      </c>
      <c r="BB195">
        <v>1</v>
      </c>
      <c r="BC195">
        <v>20.39</v>
      </c>
      <c r="BD195" t="s">
        <v>3</v>
      </c>
      <c r="BE195" t="s">
        <v>3</v>
      </c>
      <c r="BF195" t="s">
        <v>3</v>
      </c>
      <c r="BG195" t="s">
        <v>3</v>
      </c>
      <c r="BH195">
        <v>0</v>
      </c>
      <c r="BI195">
        <v>2</v>
      </c>
      <c r="BJ195" t="s">
        <v>370</v>
      </c>
      <c r="BM195">
        <v>72</v>
      </c>
      <c r="BN195">
        <v>0</v>
      </c>
      <c r="BO195" t="s">
        <v>367</v>
      </c>
      <c r="BP195">
        <v>1</v>
      </c>
      <c r="BQ195">
        <v>40</v>
      </c>
      <c r="BR195">
        <v>0</v>
      </c>
      <c r="BS195">
        <v>57.76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90</v>
      </c>
      <c r="CA195">
        <v>46</v>
      </c>
      <c r="CB195" t="s">
        <v>3</v>
      </c>
      <c r="CE195">
        <v>1566</v>
      </c>
      <c r="CF195">
        <v>0</v>
      </c>
      <c r="CG195">
        <v>0</v>
      </c>
      <c r="CM195">
        <v>0</v>
      </c>
      <c r="CN195" t="s">
        <v>454</v>
      </c>
      <c r="CO195">
        <v>0</v>
      </c>
      <c r="CP195">
        <f t="shared" si="196"/>
        <v>1593.82</v>
      </c>
      <c r="CQ195">
        <f t="shared" si="197"/>
        <v>301.98</v>
      </c>
      <c r="CR195">
        <f>(ROUND((ROUND((((ET195*1.2))*AV195*1),2)*BB195),2)+ROUND((ROUND(((AE195-((EU195*1.2)))*AV195*1),2)*BS195),2))</f>
        <v>0</v>
      </c>
      <c r="CS195">
        <f>(ROUND((ROUND((((EU195*1.2))*AV195*1),2)*BS195),2)+ROUND((ROUND(((AE195-((EU195*1.2)))*AV195*1),2)*BS195),2))</f>
        <v>0</v>
      </c>
      <c r="CT195">
        <f t="shared" si="198"/>
        <v>10322.870000000001</v>
      </c>
      <c r="CU195">
        <f t="shared" si="199"/>
        <v>0</v>
      </c>
      <c r="CV195">
        <f t="shared" si="200"/>
        <v>13.56</v>
      </c>
      <c r="CW195">
        <f t="shared" si="201"/>
        <v>0</v>
      </c>
      <c r="CX195">
        <f t="shared" si="202"/>
        <v>0</v>
      </c>
      <c r="CY195">
        <f>(ROUND((((S195+ROUND((ROUND((((EU195*1.2))*AV195*1),2)*BS195),2))*AT195)/100),2)+ROUND(((ROUND((ROUND(((AE195-((EU195*1.2)))*AV195*1),2)*BS195),2)*AT195)/100),2))</f>
        <v>1393.7</v>
      </c>
      <c r="CZ195">
        <f>(ROUND((((S195+ROUND((ROUND((((EU195*1.2))*AV195*1),2)*BS195),2))*AU195)/100),2)+ROUND(((ROUND((ROUND(((AE195-((EU195*1.2)))*AV195*1),2)*BS195),2)*AU195)/100),2))</f>
        <v>712.33</v>
      </c>
      <c r="DB195">
        <v>29</v>
      </c>
      <c r="DC195" t="s">
        <v>3</v>
      </c>
      <c r="DD195" t="s">
        <v>60</v>
      </c>
      <c r="DE195" t="s">
        <v>61</v>
      </c>
      <c r="DF195" t="s">
        <v>61</v>
      </c>
      <c r="DG195" t="s">
        <v>61</v>
      </c>
      <c r="DH195" t="s">
        <v>3</v>
      </c>
      <c r="DI195" t="s">
        <v>61</v>
      </c>
      <c r="DJ195" t="s">
        <v>61</v>
      </c>
      <c r="DK195" t="s">
        <v>3</v>
      </c>
      <c r="DL195" t="s">
        <v>3</v>
      </c>
      <c r="DM195" t="s">
        <v>3</v>
      </c>
      <c r="DN195">
        <v>0</v>
      </c>
      <c r="DO195">
        <v>0</v>
      </c>
      <c r="DP195">
        <v>1</v>
      </c>
      <c r="DQ195">
        <v>1</v>
      </c>
      <c r="DU195">
        <v>1013</v>
      </c>
      <c r="DV195" t="s">
        <v>369</v>
      </c>
      <c r="DW195" t="s">
        <v>369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76282306</v>
      </c>
      <c r="EF195">
        <v>40</v>
      </c>
      <c r="EG195" t="s">
        <v>20</v>
      </c>
      <c r="EH195">
        <v>0</v>
      </c>
      <c r="EI195" t="s">
        <v>3</v>
      </c>
      <c r="EJ195">
        <v>2</v>
      </c>
      <c r="EK195">
        <v>72</v>
      </c>
      <c r="EL195" t="s">
        <v>371</v>
      </c>
      <c r="EM195" t="s">
        <v>372</v>
      </c>
      <c r="EO195" t="s">
        <v>62</v>
      </c>
      <c r="EQ195">
        <v>131072</v>
      </c>
      <c r="ER195">
        <v>163.74</v>
      </c>
      <c r="ES195">
        <v>14.81</v>
      </c>
      <c r="ET195">
        <v>0</v>
      </c>
      <c r="EU195">
        <v>0</v>
      </c>
      <c r="EV195">
        <v>148.93</v>
      </c>
      <c r="EW195">
        <v>11.3</v>
      </c>
      <c r="EX195">
        <v>0</v>
      </c>
      <c r="EY195">
        <v>0</v>
      </c>
      <c r="FQ195">
        <v>0</v>
      </c>
      <c r="FR195">
        <v>0</v>
      </c>
      <c r="FS195">
        <v>0</v>
      </c>
      <c r="FX195">
        <v>90</v>
      </c>
      <c r="FY195">
        <v>46</v>
      </c>
      <c r="GA195" t="s">
        <v>3</v>
      </c>
      <c r="GD195">
        <v>1</v>
      </c>
      <c r="GF195">
        <v>-153495975</v>
      </c>
      <c r="GG195">
        <v>2</v>
      </c>
      <c r="GH195">
        <v>0</v>
      </c>
      <c r="GI195">
        <v>2</v>
      </c>
      <c r="GJ195">
        <v>0</v>
      </c>
      <c r="GK195">
        <v>0</v>
      </c>
      <c r="GL195">
        <f t="shared" si="203"/>
        <v>0</v>
      </c>
      <c r="GM195">
        <f t="shared" si="204"/>
        <v>3699.85</v>
      </c>
      <c r="GN195">
        <f t="shared" si="205"/>
        <v>0</v>
      </c>
      <c r="GO195">
        <f t="shared" si="206"/>
        <v>3699.85</v>
      </c>
      <c r="GP195">
        <f t="shared" si="207"/>
        <v>0</v>
      </c>
      <c r="GR195">
        <v>0</v>
      </c>
      <c r="GS195">
        <v>7</v>
      </c>
      <c r="GT195">
        <v>0</v>
      </c>
      <c r="GU195" t="s">
        <v>3</v>
      </c>
      <c r="GV195">
        <f t="shared" si="208"/>
        <v>0</v>
      </c>
      <c r="GW195">
        <v>1</v>
      </c>
      <c r="GX195">
        <f t="shared" si="209"/>
        <v>0</v>
      </c>
      <c r="HA195">
        <v>0</v>
      </c>
      <c r="HB195">
        <v>0</v>
      </c>
      <c r="HC195">
        <f t="shared" si="210"/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HS195">
        <v>0</v>
      </c>
      <c r="IK195">
        <v>0</v>
      </c>
    </row>
    <row r="196" spans="1:245">
      <c r="A196">
        <v>17</v>
      </c>
      <c r="B196">
        <v>1</v>
      </c>
      <c r="E196" t="s">
        <v>373</v>
      </c>
      <c r="F196" t="s">
        <v>90</v>
      </c>
      <c r="G196" t="s">
        <v>91</v>
      </c>
      <c r="H196" t="s">
        <v>92</v>
      </c>
      <c r="I196">
        <f>ROUND(6/100,9)</f>
        <v>0.06</v>
      </c>
      <c r="J196">
        <v>0</v>
      </c>
      <c r="K196">
        <f>ROUND(6/100,9)</f>
        <v>0.06</v>
      </c>
      <c r="O196">
        <f t="shared" si="186"/>
        <v>860.76</v>
      </c>
      <c r="P196">
        <f t="shared" si="187"/>
        <v>25.05</v>
      </c>
      <c r="Q196">
        <f>(ROUND((ROUND((((ET196*1.2))*AV196*I196),2)*BB196),2)+ROUND((ROUND(((AE196-((EU196*1.2)))*AV196*I196),2)*BS196),2))</f>
        <v>1.08</v>
      </c>
      <c r="R196">
        <f>(ROUND((ROUND((((EU196*1.2))*AV196*I196),2)*BS196),2)+ROUND((ROUND(((AE196-((EU196*1.2)))*AV196*I196),2)*BS196),2))</f>
        <v>0.57999999999999996</v>
      </c>
      <c r="S196">
        <f t="shared" si="188"/>
        <v>834.63</v>
      </c>
      <c r="T196">
        <f t="shared" si="189"/>
        <v>0</v>
      </c>
      <c r="U196">
        <f t="shared" si="190"/>
        <v>1.1123999999999998</v>
      </c>
      <c r="V196">
        <f t="shared" si="191"/>
        <v>0</v>
      </c>
      <c r="W196">
        <f t="shared" si="192"/>
        <v>0</v>
      </c>
      <c r="X196">
        <f>(ROUND((((S196+ROUND((ROUND((((EU196*1.2))*AV196*I196),2)*BS196),2))*AT196)/100),2)+ROUND(((ROUND((ROUND(((AE196-((EU196*1.2)))*AV196*I196),2)*BS196),2)*AT196)/100),2))</f>
        <v>810.15</v>
      </c>
      <c r="Y196">
        <f>(ROUND((((S196+ROUND((ROUND((((EU196*1.2))*AV196*I196),2)*BS196),2))*AU196)/100),2)+ROUND(((ROUND((ROUND(((AE196-((EU196*1.2)))*AV196*I196),2)*BS196),2)*AU196)/100),2))</f>
        <v>425.96</v>
      </c>
      <c r="AA196">
        <v>76282491</v>
      </c>
      <c r="AB196">
        <f t="shared" si="193"/>
        <v>315.93599999999998</v>
      </c>
      <c r="AC196">
        <f>ROUND(((ES196*1)),6)</f>
        <v>74.099999999999994</v>
      </c>
      <c r="AD196">
        <f>ROUND(((((ET196*1.2))-((EU196*1.2)))+AE196),6)</f>
        <v>0.996</v>
      </c>
      <c r="AE196">
        <f>ROUND(((EU196*1.2)),6)</f>
        <v>0.156</v>
      </c>
      <c r="AF196">
        <f>ROUND(((EV196*1.2)),6)</f>
        <v>240.84</v>
      </c>
      <c r="AG196">
        <f t="shared" si="194"/>
        <v>0</v>
      </c>
      <c r="AH196">
        <f>((EW196*1.2))</f>
        <v>18.54</v>
      </c>
      <c r="AI196">
        <f>((EX196*1.2))</f>
        <v>0</v>
      </c>
      <c r="AJ196">
        <f t="shared" si="195"/>
        <v>0</v>
      </c>
      <c r="AK196">
        <v>275.63</v>
      </c>
      <c r="AL196">
        <v>74.099999999999994</v>
      </c>
      <c r="AM196">
        <v>0.83</v>
      </c>
      <c r="AN196">
        <v>0.13</v>
      </c>
      <c r="AO196">
        <v>200.7</v>
      </c>
      <c r="AP196">
        <v>0</v>
      </c>
      <c r="AQ196">
        <v>15.45</v>
      </c>
      <c r="AR196">
        <v>0</v>
      </c>
      <c r="AS196">
        <v>0</v>
      </c>
      <c r="AT196">
        <v>97</v>
      </c>
      <c r="AU196">
        <v>51</v>
      </c>
      <c r="AV196">
        <v>1</v>
      </c>
      <c r="AW196">
        <v>1</v>
      </c>
      <c r="AZ196">
        <v>1</v>
      </c>
      <c r="BA196">
        <v>57.76</v>
      </c>
      <c r="BB196">
        <v>18.04</v>
      </c>
      <c r="BC196">
        <v>5.63</v>
      </c>
      <c r="BD196" t="s">
        <v>3</v>
      </c>
      <c r="BE196" t="s">
        <v>3</v>
      </c>
      <c r="BF196" t="s">
        <v>3</v>
      </c>
      <c r="BG196" t="s">
        <v>3</v>
      </c>
      <c r="BH196">
        <v>0</v>
      </c>
      <c r="BI196">
        <v>2</v>
      </c>
      <c r="BJ196" t="s">
        <v>93</v>
      </c>
      <c r="BM196">
        <v>67</v>
      </c>
      <c r="BN196">
        <v>0</v>
      </c>
      <c r="BO196" t="s">
        <v>90</v>
      </c>
      <c r="BP196">
        <v>1</v>
      </c>
      <c r="BQ196">
        <v>40</v>
      </c>
      <c r="BR196">
        <v>0</v>
      </c>
      <c r="BS196">
        <v>57.76</v>
      </c>
      <c r="BT196">
        <v>1</v>
      </c>
      <c r="BU196">
        <v>1</v>
      </c>
      <c r="BV196">
        <v>1</v>
      </c>
      <c r="BW196">
        <v>1</v>
      </c>
      <c r="BX196">
        <v>1</v>
      </c>
      <c r="BY196" t="s">
        <v>3</v>
      </c>
      <c r="BZ196">
        <v>97</v>
      </c>
      <c r="CA196">
        <v>51</v>
      </c>
      <c r="CB196" t="s">
        <v>3</v>
      </c>
      <c r="CE196">
        <v>1566</v>
      </c>
      <c r="CF196">
        <v>0</v>
      </c>
      <c r="CG196">
        <v>0</v>
      </c>
      <c r="CM196">
        <v>0</v>
      </c>
      <c r="CN196" t="s">
        <v>454</v>
      </c>
      <c r="CO196">
        <v>0</v>
      </c>
      <c r="CP196">
        <f t="shared" si="196"/>
        <v>860.76</v>
      </c>
      <c r="CQ196">
        <f t="shared" si="197"/>
        <v>417.18</v>
      </c>
      <c r="CR196">
        <f>(ROUND((ROUND((((ET196*1.2))*AV196*1),2)*BB196),2)+ROUND((ROUND(((AE196-((EU196*1.2)))*AV196*1),2)*BS196),2))</f>
        <v>18.04</v>
      </c>
      <c r="CS196">
        <f>(ROUND((ROUND((((EU196*1.2))*AV196*1),2)*BS196),2)+ROUND((ROUND(((AE196-((EU196*1.2)))*AV196*1),2)*BS196),2))</f>
        <v>9.24</v>
      </c>
      <c r="CT196">
        <f t="shared" si="198"/>
        <v>13910.92</v>
      </c>
      <c r="CU196">
        <f t="shared" si="199"/>
        <v>0</v>
      </c>
      <c r="CV196">
        <f t="shared" si="200"/>
        <v>18.54</v>
      </c>
      <c r="CW196">
        <f t="shared" si="201"/>
        <v>0</v>
      </c>
      <c r="CX196">
        <f t="shared" si="202"/>
        <v>0</v>
      </c>
      <c r="CY196">
        <f>(ROUND((((S196+ROUND((ROUND((((EU196*1.2))*AV196*1),2)*BS196),2))*AT196)/100),2)+ROUND(((ROUND((ROUND(((AE196-((EU196*1.2)))*AV196*1),2)*BS196),2)*AT196)/100),2))</f>
        <v>818.55</v>
      </c>
      <c r="CZ196">
        <f>(ROUND((((S196+ROUND((ROUND((((EU196*1.2))*AV196*1),2)*BS196),2))*AU196)/100),2)+ROUND(((ROUND((ROUND(((AE196-((EU196*1.2)))*AV196*1),2)*BS196),2)*AU196)/100),2))</f>
        <v>430.37</v>
      </c>
      <c r="DB196">
        <v>30</v>
      </c>
      <c r="DC196" t="s">
        <v>3</v>
      </c>
      <c r="DD196" t="s">
        <v>60</v>
      </c>
      <c r="DE196" t="s">
        <v>61</v>
      </c>
      <c r="DF196" t="s">
        <v>61</v>
      </c>
      <c r="DG196" t="s">
        <v>61</v>
      </c>
      <c r="DH196" t="s">
        <v>3</v>
      </c>
      <c r="DI196" t="s">
        <v>61</v>
      </c>
      <c r="DJ196" t="s">
        <v>61</v>
      </c>
      <c r="DK196" t="s">
        <v>3</v>
      </c>
      <c r="DL196" t="s">
        <v>3</v>
      </c>
      <c r="DM196" t="s">
        <v>3</v>
      </c>
      <c r="DN196">
        <v>0</v>
      </c>
      <c r="DO196">
        <v>0</v>
      </c>
      <c r="DP196">
        <v>1</v>
      </c>
      <c r="DQ196">
        <v>1</v>
      </c>
      <c r="DU196">
        <v>1013</v>
      </c>
      <c r="DV196" t="s">
        <v>92</v>
      </c>
      <c r="DW196" t="s">
        <v>92</v>
      </c>
      <c r="DX196">
        <v>1</v>
      </c>
      <c r="DZ196" t="s">
        <v>3</v>
      </c>
      <c r="EA196" t="s">
        <v>3</v>
      </c>
      <c r="EB196" t="s">
        <v>3</v>
      </c>
      <c r="EC196" t="s">
        <v>3</v>
      </c>
      <c r="EE196">
        <v>76282301</v>
      </c>
      <c r="EF196">
        <v>40</v>
      </c>
      <c r="EG196" t="s">
        <v>20</v>
      </c>
      <c r="EH196">
        <v>0</v>
      </c>
      <c r="EI196" t="s">
        <v>3</v>
      </c>
      <c r="EJ196">
        <v>2</v>
      </c>
      <c r="EK196">
        <v>67</v>
      </c>
      <c r="EL196" t="s">
        <v>21</v>
      </c>
      <c r="EM196" t="s">
        <v>22</v>
      </c>
      <c r="EO196" t="s">
        <v>62</v>
      </c>
      <c r="EQ196">
        <v>131072</v>
      </c>
      <c r="ER196">
        <v>275.63</v>
      </c>
      <c r="ES196">
        <v>74.099999999999994</v>
      </c>
      <c r="ET196">
        <v>0.83</v>
      </c>
      <c r="EU196">
        <v>0.13</v>
      </c>
      <c r="EV196">
        <v>200.7</v>
      </c>
      <c r="EW196">
        <v>15.45</v>
      </c>
      <c r="EX196">
        <v>0</v>
      </c>
      <c r="EY196">
        <v>0</v>
      </c>
      <c r="FQ196">
        <v>0</v>
      </c>
      <c r="FR196">
        <v>0</v>
      </c>
      <c r="FS196">
        <v>0</v>
      </c>
      <c r="FX196">
        <v>97</v>
      </c>
      <c r="FY196">
        <v>51</v>
      </c>
      <c r="GA196" t="s">
        <v>3</v>
      </c>
      <c r="GD196">
        <v>1</v>
      </c>
      <c r="GF196">
        <v>425532638</v>
      </c>
      <c r="GG196">
        <v>2</v>
      </c>
      <c r="GH196">
        <v>0</v>
      </c>
      <c r="GI196">
        <v>2</v>
      </c>
      <c r="GJ196">
        <v>0</v>
      </c>
      <c r="GK196">
        <v>0</v>
      </c>
      <c r="GL196">
        <f t="shared" si="203"/>
        <v>0</v>
      </c>
      <c r="GM196">
        <f t="shared" si="204"/>
        <v>2096.87</v>
      </c>
      <c r="GN196">
        <f t="shared" si="205"/>
        <v>0</v>
      </c>
      <c r="GO196">
        <f t="shared" si="206"/>
        <v>2096.87</v>
      </c>
      <c r="GP196">
        <f t="shared" si="207"/>
        <v>0</v>
      </c>
      <c r="GR196">
        <v>0</v>
      </c>
      <c r="GS196">
        <v>7</v>
      </c>
      <c r="GT196">
        <v>0</v>
      </c>
      <c r="GU196" t="s">
        <v>3</v>
      </c>
      <c r="GV196">
        <f t="shared" si="208"/>
        <v>0</v>
      </c>
      <c r="GW196">
        <v>1</v>
      </c>
      <c r="GX196">
        <f t="shared" si="209"/>
        <v>0</v>
      </c>
      <c r="HA196">
        <v>0</v>
      </c>
      <c r="HB196">
        <v>0</v>
      </c>
      <c r="HC196">
        <f t="shared" si="210"/>
        <v>0</v>
      </c>
      <c r="HE196" t="s">
        <v>3</v>
      </c>
      <c r="HF196" t="s">
        <v>3</v>
      </c>
      <c r="HM196" t="s">
        <v>3</v>
      </c>
      <c r="HN196" t="s">
        <v>3</v>
      </c>
      <c r="HO196" t="s">
        <v>3</v>
      </c>
      <c r="HP196" t="s">
        <v>3</v>
      </c>
      <c r="HQ196" t="s">
        <v>3</v>
      </c>
      <c r="HS196">
        <v>0</v>
      </c>
      <c r="IK196">
        <v>0</v>
      </c>
    </row>
    <row r="197" spans="1:245">
      <c r="A197">
        <v>18</v>
      </c>
      <c r="B197">
        <v>1</v>
      </c>
      <c r="E197" t="s">
        <v>374</v>
      </c>
      <c r="F197" t="s">
        <v>34</v>
      </c>
      <c r="G197" t="s">
        <v>35</v>
      </c>
      <c r="H197" t="s">
        <v>32</v>
      </c>
      <c r="I197">
        <f>I196*J197</f>
        <v>6.12</v>
      </c>
      <c r="J197">
        <v>102</v>
      </c>
      <c r="K197">
        <v>102</v>
      </c>
      <c r="O197">
        <f t="shared" si="186"/>
        <v>0</v>
      </c>
      <c r="P197">
        <f t="shared" si="187"/>
        <v>0</v>
      </c>
      <c r="Q197">
        <f>(ROUND((ROUND(((ET197)*AV197*I197),2)*BB197),2)+ROUND((ROUND(((AE197-(EU197))*AV197*I197),2)*BS197),2))</f>
        <v>0</v>
      </c>
      <c r="R197">
        <f>(ROUND((ROUND(((EU197)*AV197*I197),2)*BS197),2)+ROUND((ROUND(((AE197-(EU197))*AV197*I197),2)*BS197),2))</f>
        <v>0</v>
      </c>
      <c r="S197">
        <f t="shared" si="188"/>
        <v>0</v>
      </c>
      <c r="T197">
        <f t="shared" si="189"/>
        <v>0</v>
      </c>
      <c r="U197">
        <f t="shared" si="190"/>
        <v>0</v>
      </c>
      <c r="V197">
        <f t="shared" si="191"/>
        <v>0</v>
      </c>
      <c r="W197">
        <f t="shared" si="192"/>
        <v>0</v>
      </c>
      <c r="X197">
        <f>(ROUND((((S197+ROUND((ROUND(((EU197)*AV197*I197),2)*BS197),2))*AT197)/100),2)+ROUND(((ROUND((ROUND(((AE197-(EU197))*AV197*I197),2)*BS197),2)*AT197)/100),2))</f>
        <v>0</v>
      </c>
      <c r="Y197">
        <f>(ROUND((((S197+ROUND((ROUND(((EU197)*AV197*I197),2)*BS197),2))*AU197)/100),2)+ROUND(((ROUND((ROUND(((AE197-(EU197))*AV197*I197),2)*BS197),2)*AU197)/100),2))</f>
        <v>0</v>
      </c>
      <c r="AA197">
        <v>76282491</v>
      </c>
      <c r="AB197">
        <f t="shared" si="193"/>
        <v>0</v>
      </c>
      <c r="AC197">
        <f>ROUND((ES197),6)</f>
        <v>0</v>
      </c>
      <c r="AD197">
        <f>ROUND((((ET197)-(EU197))+AE197),6)</f>
        <v>0</v>
      </c>
      <c r="AE197">
        <f t="shared" ref="AE197:AF199" si="211">ROUND((EU197),6)</f>
        <v>0</v>
      </c>
      <c r="AF197">
        <f t="shared" si="211"/>
        <v>0</v>
      </c>
      <c r="AG197">
        <f t="shared" si="194"/>
        <v>0</v>
      </c>
      <c r="AH197">
        <f t="shared" ref="AH197:AI199" si="212">(EW197)</f>
        <v>0</v>
      </c>
      <c r="AI197">
        <f t="shared" si="212"/>
        <v>0</v>
      </c>
      <c r="AJ197">
        <f t="shared" si="195"/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97</v>
      </c>
      <c r="AU197">
        <v>51</v>
      </c>
      <c r="AV197">
        <v>1</v>
      </c>
      <c r="AW197">
        <v>1</v>
      </c>
      <c r="AZ197">
        <v>1</v>
      </c>
      <c r="BA197">
        <v>1</v>
      </c>
      <c r="BB197">
        <v>1</v>
      </c>
      <c r="BC197">
        <v>1</v>
      </c>
      <c r="BD197" t="s">
        <v>3</v>
      </c>
      <c r="BE197" t="s">
        <v>3</v>
      </c>
      <c r="BF197" t="s">
        <v>3</v>
      </c>
      <c r="BG197" t="s">
        <v>3</v>
      </c>
      <c r="BH197">
        <v>3</v>
      </c>
      <c r="BI197">
        <v>2</v>
      </c>
      <c r="BJ197" t="s">
        <v>3</v>
      </c>
      <c r="BM197">
        <v>67</v>
      </c>
      <c r="BN197">
        <v>0</v>
      </c>
      <c r="BO197" t="s">
        <v>3</v>
      </c>
      <c r="BP197">
        <v>0</v>
      </c>
      <c r="BQ197">
        <v>40</v>
      </c>
      <c r="BR197">
        <v>0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 t="s">
        <v>3</v>
      </c>
      <c r="BZ197">
        <v>97</v>
      </c>
      <c r="CA197">
        <v>51</v>
      </c>
      <c r="CB197" t="s">
        <v>3</v>
      </c>
      <c r="CE197">
        <v>1566</v>
      </c>
      <c r="CF197">
        <v>0</v>
      </c>
      <c r="CG197">
        <v>0</v>
      </c>
      <c r="CM197">
        <v>0</v>
      </c>
      <c r="CN197" t="s">
        <v>454</v>
      </c>
      <c r="CO197">
        <v>0</v>
      </c>
      <c r="CP197">
        <f t="shared" si="196"/>
        <v>0</v>
      </c>
      <c r="CQ197">
        <f t="shared" si="197"/>
        <v>0</v>
      </c>
      <c r="CR197">
        <f>(ROUND((ROUND(((ET197)*AV197*1),2)*BB197),2)+ROUND((ROUND(((AE197-(EU197))*AV197*1),2)*BS197),2))</f>
        <v>0</v>
      </c>
      <c r="CS197">
        <f>(ROUND((ROUND(((EU197)*AV197*1),2)*BS197),2)+ROUND((ROUND(((AE197-(EU197))*AV197*1),2)*BS197),2))</f>
        <v>0</v>
      </c>
      <c r="CT197">
        <f t="shared" si="198"/>
        <v>0</v>
      </c>
      <c r="CU197">
        <f t="shared" si="199"/>
        <v>0</v>
      </c>
      <c r="CV197">
        <f t="shared" si="200"/>
        <v>0</v>
      </c>
      <c r="CW197">
        <f t="shared" si="201"/>
        <v>0</v>
      </c>
      <c r="CX197">
        <f t="shared" si="202"/>
        <v>0</v>
      </c>
      <c r="CY197">
        <f>(ROUND((((S197+ROUND((ROUND(((EU197)*AV197*1),2)*BS197),2))*AT197)/100),2)+ROUND(((ROUND((ROUND(((AE197-(EU197))*AV197*1),2)*BS197),2)*AT197)/100),2))</f>
        <v>0</v>
      </c>
      <c r="CZ197">
        <f>(ROUND((((S197+ROUND((ROUND(((EU197)*AV197*1),2)*BS197),2))*AU197)/100),2)+ROUND(((ROUND((ROUND(((AE197-(EU197))*AV197*1),2)*BS197),2)*AU197)/100),2))</f>
        <v>0</v>
      </c>
      <c r="DC197" t="s">
        <v>3</v>
      </c>
      <c r="DD197" t="s">
        <v>3</v>
      </c>
      <c r="DE197" t="s">
        <v>3</v>
      </c>
      <c r="DF197" t="s">
        <v>3</v>
      </c>
      <c r="DG197" t="s">
        <v>3</v>
      </c>
      <c r="DH197" t="s">
        <v>3</v>
      </c>
      <c r="DI197" t="s">
        <v>3</v>
      </c>
      <c r="DJ197" t="s">
        <v>3</v>
      </c>
      <c r="DK197" t="s">
        <v>3</v>
      </c>
      <c r="DL197" t="s">
        <v>3</v>
      </c>
      <c r="DM197" t="s">
        <v>3</v>
      </c>
      <c r="DN197">
        <v>0</v>
      </c>
      <c r="DO197">
        <v>0</v>
      </c>
      <c r="DP197">
        <v>1</v>
      </c>
      <c r="DQ197">
        <v>1</v>
      </c>
      <c r="DU197">
        <v>1010</v>
      </c>
      <c r="DV197" t="s">
        <v>32</v>
      </c>
      <c r="DW197" t="s">
        <v>32</v>
      </c>
      <c r="DX197">
        <v>1</v>
      </c>
      <c r="DZ197" t="s">
        <v>3</v>
      </c>
      <c r="EA197" t="s">
        <v>3</v>
      </c>
      <c r="EB197" t="s">
        <v>3</v>
      </c>
      <c r="EC197" t="s">
        <v>3</v>
      </c>
      <c r="EE197">
        <v>76282301</v>
      </c>
      <c r="EF197">
        <v>40</v>
      </c>
      <c r="EG197" t="s">
        <v>20</v>
      </c>
      <c r="EH197">
        <v>0</v>
      </c>
      <c r="EI197" t="s">
        <v>3</v>
      </c>
      <c r="EJ197">
        <v>2</v>
      </c>
      <c r="EK197">
        <v>67</v>
      </c>
      <c r="EL197" t="s">
        <v>21</v>
      </c>
      <c r="EM197" t="s">
        <v>22</v>
      </c>
      <c r="EO197" t="s">
        <v>62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FQ197">
        <v>0</v>
      </c>
      <c r="FR197">
        <v>0</v>
      </c>
      <c r="FS197">
        <v>0</v>
      </c>
      <c r="FX197">
        <v>97</v>
      </c>
      <c r="FY197">
        <v>51</v>
      </c>
      <c r="GA197" t="s">
        <v>3</v>
      </c>
      <c r="GD197">
        <v>1</v>
      </c>
      <c r="GF197">
        <v>-1431231368</v>
      </c>
      <c r="GG197">
        <v>2</v>
      </c>
      <c r="GH197">
        <v>0</v>
      </c>
      <c r="GI197">
        <v>-2</v>
      </c>
      <c r="GJ197">
        <v>0</v>
      </c>
      <c r="GK197">
        <v>0</v>
      </c>
      <c r="GL197">
        <f t="shared" si="203"/>
        <v>0</v>
      </c>
      <c r="GM197">
        <f t="shared" si="204"/>
        <v>0</v>
      </c>
      <c r="GN197">
        <f t="shared" si="205"/>
        <v>0</v>
      </c>
      <c r="GO197">
        <f t="shared" si="206"/>
        <v>0</v>
      </c>
      <c r="GP197">
        <f t="shared" si="207"/>
        <v>0</v>
      </c>
      <c r="GR197">
        <v>0</v>
      </c>
      <c r="GS197">
        <v>0</v>
      </c>
      <c r="GT197">
        <v>0</v>
      </c>
      <c r="GU197" t="s">
        <v>3</v>
      </c>
      <c r="GV197">
        <f t="shared" si="208"/>
        <v>0</v>
      </c>
      <c r="GW197">
        <v>1</v>
      </c>
      <c r="GX197">
        <f t="shared" si="209"/>
        <v>0</v>
      </c>
      <c r="HA197">
        <v>0</v>
      </c>
      <c r="HB197">
        <v>0</v>
      </c>
      <c r="HC197">
        <f t="shared" si="210"/>
        <v>0</v>
      </c>
      <c r="HE197" t="s">
        <v>3</v>
      </c>
      <c r="HF197" t="s">
        <v>3</v>
      </c>
      <c r="HM197" t="s">
        <v>60</v>
      </c>
      <c r="HN197" t="s">
        <v>3</v>
      </c>
      <c r="HO197" t="s">
        <v>3</v>
      </c>
      <c r="HP197" t="s">
        <v>3</v>
      </c>
      <c r="HQ197" t="s">
        <v>3</v>
      </c>
      <c r="HS197">
        <v>0</v>
      </c>
      <c r="IK197">
        <v>0</v>
      </c>
    </row>
    <row r="198" spans="1:245">
      <c r="A198">
        <v>17</v>
      </c>
      <c r="B198">
        <v>1</v>
      </c>
      <c r="E198" t="s">
        <v>375</v>
      </c>
      <c r="F198" t="s">
        <v>376</v>
      </c>
      <c r="G198" t="s">
        <v>377</v>
      </c>
      <c r="H198" t="s">
        <v>378</v>
      </c>
      <c r="I198">
        <f>ROUND((1)/100,9)</f>
        <v>0.01</v>
      </c>
      <c r="J198">
        <v>0</v>
      </c>
      <c r="K198">
        <f>ROUND((1)/100,9)</f>
        <v>0.01</v>
      </c>
      <c r="O198">
        <f t="shared" si="186"/>
        <v>55.42</v>
      </c>
      <c r="P198">
        <f t="shared" si="187"/>
        <v>0</v>
      </c>
      <c r="Q198">
        <f>(ROUND((ROUND(((ET198)*AV198*I198),2)*BB198),2)+ROUND((ROUND(((AE198-(EU198))*AV198*I198),2)*BS198),2))</f>
        <v>0.55000000000000004</v>
      </c>
      <c r="R198">
        <f>(ROUND((ROUND(((EU198)*AV198*I198),2)*BS198),2)+ROUND((ROUND(((AE198-(EU198))*AV198*I198),2)*BS198),2))</f>
        <v>0</v>
      </c>
      <c r="S198">
        <f t="shared" si="188"/>
        <v>54.87</v>
      </c>
      <c r="T198">
        <f t="shared" si="189"/>
        <v>0</v>
      </c>
      <c r="U198">
        <f t="shared" si="190"/>
        <v>8.5000000000000006E-2</v>
      </c>
      <c r="V198">
        <f t="shared" si="191"/>
        <v>0</v>
      </c>
      <c r="W198">
        <f t="shared" si="192"/>
        <v>0</v>
      </c>
      <c r="X198">
        <f>(ROUND((((S198+ROUND((ROUND(((EU198)*AV198*I198),2)*BS198),2))*AT198)/100),2)+ROUND(((ROUND((ROUND(((AE198-(EU198))*AV198*I198),2)*BS198),2)*AT198)/100),2))</f>
        <v>50.48</v>
      </c>
      <c r="Y198">
        <f>(ROUND((((S198+ROUND((ROUND(((EU198)*AV198*I198),2)*BS198),2))*AU198)/100),2)+ROUND(((ROUND((ROUND(((AE198-(EU198))*AV198*I198),2)*BS198),2)*AU198)/100),2))</f>
        <v>24.14</v>
      </c>
      <c r="AA198">
        <v>76282491</v>
      </c>
      <c r="AB198">
        <f t="shared" si="193"/>
        <v>101.58</v>
      </c>
      <c r="AC198">
        <f>ROUND((ES198),6)</f>
        <v>0</v>
      </c>
      <c r="AD198">
        <f>ROUND((((ET198)-(EU198))+AE198),6)</f>
        <v>6.55</v>
      </c>
      <c r="AE198">
        <f t="shared" si="211"/>
        <v>0</v>
      </c>
      <c r="AF198">
        <f t="shared" si="211"/>
        <v>95.03</v>
      </c>
      <c r="AG198">
        <f t="shared" si="194"/>
        <v>0</v>
      </c>
      <c r="AH198">
        <f t="shared" si="212"/>
        <v>8.5</v>
      </c>
      <c r="AI198">
        <f t="shared" si="212"/>
        <v>0</v>
      </c>
      <c r="AJ198">
        <f t="shared" si="195"/>
        <v>0</v>
      </c>
      <c r="AK198">
        <v>101.58</v>
      </c>
      <c r="AL198">
        <v>0</v>
      </c>
      <c r="AM198">
        <v>6.55</v>
      </c>
      <c r="AN198">
        <v>0</v>
      </c>
      <c r="AO198">
        <v>95.03</v>
      </c>
      <c r="AP198">
        <v>0</v>
      </c>
      <c r="AQ198">
        <v>8.5</v>
      </c>
      <c r="AR198">
        <v>0</v>
      </c>
      <c r="AS198">
        <v>0</v>
      </c>
      <c r="AT198">
        <v>92</v>
      </c>
      <c r="AU198">
        <v>44</v>
      </c>
      <c r="AV198">
        <v>1</v>
      </c>
      <c r="AW198">
        <v>1</v>
      </c>
      <c r="AZ198">
        <v>1</v>
      </c>
      <c r="BA198">
        <v>57.76</v>
      </c>
      <c r="BB198">
        <v>7.79</v>
      </c>
      <c r="BC198">
        <v>1</v>
      </c>
      <c r="BD198" t="s">
        <v>3</v>
      </c>
      <c r="BE198" t="s">
        <v>3</v>
      </c>
      <c r="BF198" t="s">
        <v>3</v>
      </c>
      <c r="BG198" t="s">
        <v>3</v>
      </c>
      <c r="BH198">
        <v>0</v>
      </c>
      <c r="BI198">
        <v>1</v>
      </c>
      <c r="BJ198" t="s">
        <v>379</v>
      </c>
      <c r="BM198">
        <v>108</v>
      </c>
      <c r="BN198">
        <v>0</v>
      </c>
      <c r="BO198" t="s">
        <v>376</v>
      </c>
      <c r="BP198">
        <v>1</v>
      </c>
      <c r="BQ198">
        <v>60</v>
      </c>
      <c r="BR198">
        <v>0</v>
      </c>
      <c r="BS198">
        <v>57.76</v>
      </c>
      <c r="BT198">
        <v>1</v>
      </c>
      <c r="BU198">
        <v>1</v>
      </c>
      <c r="BV198">
        <v>1</v>
      </c>
      <c r="BW198">
        <v>1</v>
      </c>
      <c r="BX198">
        <v>1</v>
      </c>
      <c r="BY198" t="s">
        <v>3</v>
      </c>
      <c r="BZ198">
        <v>92</v>
      </c>
      <c r="CA198">
        <v>44</v>
      </c>
      <c r="CB198" t="s">
        <v>3</v>
      </c>
      <c r="CE198">
        <v>1566</v>
      </c>
      <c r="CF198">
        <v>0</v>
      </c>
      <c r="CG198">
        <v>0</v>
      </c>
      <c r="CM198">
        <v>0</v>
      </c>
      <c r="CN198" t="s">
        <v>3</v>
      </c>
      <c r="CO198">
        <v>0</v>
      </c>
      <c r="CP198">
        <f t="shared" si="196"/>
        <v>55.419999999999995</v>
      </c>
      <c r="CQ198">
        <f t="shared" si="197"/>
        <v>0</v>
      </c>
      <c r="CR198">
        <f>(ROUND((ROUND(((ET198)*AV198*1),2)*BB198),2)+ROUND((ROUND(((AE198-(EU198))*AV198*1),2)*BS198),2))</f>
        <v>51.02</v>
      </c>
      <c r="CS198">
        <f>(ROUND((ROUND(((EU198)*AV198*1),2)*BS198),2)+ROUND((ROUND(((AE198-(EU198))*AV198*1),2)*BS198),2))</f>
        <v>0</v>
      </c>
      <c r="CT198">
        <f t="shared" si="198"/>
        <v>5488.93</v>
      </c>
      <c r="CU198">
        <f t="shared" si="199"/>
        <v>0</v>
      </c>
      <c r="CV198">
        <f t="shared" si="200"/>
        <v>8.5</v>
      </c>
      <c r="CW198">
        <f t="shared" si="201"/>
        <v>0</v>
      </c>
      <c r="CX198">
        <f t="shared" si="202"/>
        <v>0</v>
      </c>
      <c r="CY198">
        <f>(ROUND((((S198+ROUND((ROUND(((EU198)*AV198*1),2)*BS198),2))*AT198)/100),2)+ROUND(((ROUND((ROUND(((AE198-(EU198))*AV198*1),2)*BS198),2)*AT198)/100),2))</f>
        <v>50.48</v>
      </c>
      <c r="CZ198">
        <f>(ROUND((((S198+ROUND((ROUND(((EU198)*AV198*1),2)*BS198),2))*AU198)/100),2)+ROUND(((ROUND((ROUND(((AE198-(EU198))*AV198*1),2)*BS198),2)*AU198)/100),2))</f>
        <v>24.14</v>
      </c>
      <c r="DC198" t="s">
        <v>3</v>
      </c>
      <c r="DD198" t="s">
        <v>3</v>
      </c>
      <c r="DE198" t="s">
        <v>3</v>
      </c>
      <c r="DF198" t="s">
        <v>3</v>
      </c>
      <c r="DG198" t="s">
        <v>3</v>
      </c>
      <c r="DH198" t="s">
        <v>3</v>
      </c>
      <c r="DI198" t="s">
        <v>3</v>
      </c>
      <c r="DJ198" t="s">
        <v>3</v>
      </c>
      <c r="DK198" t="s">
        <v>3</v>
      </c>
      <c r="DL198" t="s">
        <v>3</v>
      </c>
      <c r="DM198" t="s">
        <v>3</v>
      </c>
      <c r="DN198">
        <v>0</v>
      </c>
      <c r="DO198">
        <v>0</v>
      </c>
      <c r="DP198">
        <v>1</v>
      </c>
      <c r="DQ198">
        <v>1</v>
      </c>
      <c r="DU198">
        <v>1013</v>
      </c>
      <c r="DV198" t="s">
        <v>378</v>
      </c>
      <c r="DW198" t="s">
        <v>378</v>
      </c>
      <c r="DX198">
        <v>1</v>
      </c>
      <c r="DZ198" t="s">
        <v>3</v>
      </c>
      <c r="EA198" t="s">
        <v>3</v>
      </c>
      <c r="EB198" t="s">
        <v>3</v>
      </c>
      <c r="EC198" t="s">
        <v>3</v>
      </c>
      <c r="EE198">
        <v>76282342</v>
      </c>
      <c r="EF198">
        <v>60</v>
      </c>
      <c r="EG198" t="s">
        <v>380</v>
      </c>
      <c r="EH198">
        <v>0</v>
      </c>
      <c r="EI198" t="s">
        <v>3</v>
      </c>
      <c r="EJ198">
        <v>1</v>
      </c>
      <c r="EK198">
        <v>108</v>
      </c>
      <c r="EL198" t="s">
        <v>381</v>
      </c>
      <c r="EM198" t="s">
        <v>382</v>
      </c>
      <c r="EO198" t="s">
        <v>3</v>
      </c>
      <c r="EQ198">
        <v>131072</v>
      </c>
      <c r="ER198">
        <v>101.58</v>
      </c>
      <c r="ES198">
        <v>0</v>
      </c>
      <c r="ET198">
        <v>6.55</v>
      </c>
      <c r="EU198">
        <v>0</v>
      </c>
      <c r="EV198">
        <v>95.03</v>
      </c>
      <c r="EW198">
        <v>8.5</v>
      </c>
      <c r="EX198">
        <v>0</v>
      </c>
      <c r="EY198">
        <v>0</v>
      </c>
      <c r="FQ198">
        <v>0</v>
      </c>
      <c r="FR198">
        <v>0</v>
      </c>
      <c r="FS198">
        <v>0</v>
      </c>
      <c r="FX198">
        <v>92</v>
      </c>
      <c r="FY198">
        <v>44</v>
      </c>
      <c r="GA198" t="s">
        <v>3</v>
      </c>
      <c r="GD198">
        <v>1</v>
      </c>
      <c r="GF198">
        <v>-1732580848</v>
      </c>
      <c r="GG198">
        <v>2</v>
      </c>
      <c r="GH198">
        <v>0</v>
      </c>
      <c r="GI198">
        <v>2</v>
      </c>
      <c r="GJ198">
        <v>0</v>
      </c>
      <c r="GK198">
        <v>0</v>
      </c>
      <c r="GL198">
        <f t="shared" si="203"/>
        <v>0</v>
      </c>
      <c r="GM198">
        <f t="shared" si="204"/>
        <v>130.04</v>
      </c>
      <c r="GN198">
        <f t="shared" si="205"/>
        <v>130.04</v>
      </c>
      <c r="GO198">
        <f t="shared" si="206"/>
        <v>0</v>
      </c>
      <c r="GP198">
        <f t="shared" si="207"/>
        <v>0</v>
      </c>
      <c r="GR198">
        <v>0</v>
      </c>
      <c r="GS198">
        <v>7</v>
      </c>
      <c r="GT198">
        <v>0</v>
      </c>
      <c r="GU198" t="s">
        <v>3</v>
      </c>
      <c r="GV198">
        <f t="shared" si="208"/>
        <v>0</v>
      </c>
      <c r="GW198">
        <v>1</v>
      </c>
      <c r="GX198">
        <f t="shared" si="209"/>
        <v>0</v>
      </c>
      <c r="HA198">
        <v>0</v>
      </c>
      <c r="HB198">
        <v>0</v>
      </c>
      <c r="HC198">
        <f t="shared" si="210"/>
        <v>0</v>
      </c>
      <c r="HE198" t="s">
        <v>3</v>
      </c>
      <c r="HF198" t="s">
        <v>3</v>
      </c>
      <c r="HM198" t="s">
        <v>3</v>
      </c>
      <c r="HN198" t="s">
        <v>3</v>
      </c>
      <c r="HO198" t="s">
        <v>3</v>
      </c>
      <c r="HP198" t="s">
        <v>3</v>
      </c>
      <c r="HQ198" t="s">
        <v>3</v>
      </c>
      <c r="HS198">
        <v>0</v>
      </c>
      <c r="IK198">
        <v>0</v>
      </c>
    </row>
    <row r="199" spans="1:245">
      <c r="A199">
        <v>18</v>
      </c>
      <c r="B199">
        <v>1</v>
      </c>
      <c r="E199" t="s">
        <v>383</v>
      </c>
      <c r="F199" t="s">
        <v>384</v>
      </c>
      <c r="G199" t="s">
        <v>385</v>
      </c>
      <c r="H199" t="s">
        <v>32</v>
      </c>
      <c r="I199">
        <f>I198*J199</f>
        <v>1</v>
      </c>
      <c r="J199">
        <v>100</v>
      </c>
      <c r="K199">
        <v>100</v>
      </c>
      <c r="O199">
        <f t="shared" si="186"/>
        <v>389.57</v>
      </c>
      <c r="P199">
        <f t="shared" si="187"/>
        <v>389.57</v>
      </c>
      <c r="Q199">
        <f>(ROUND((ROUND(((ET199)*AV199*I199),2)*BB199),2)+ROUND((ROUND(((AE199-(EU199))*AV199*I199),2)*BS199),2))</f>
        <v>0</v>
      </c>
      <c r="R199">
        <f>(ROUND((ROUND(((EU199)*AV199*I199),2)*BS199),2)+ROUND((ROUND(((AE199-(EU199))*AV199*I199),2)*BS199),2))</f>
        <v>0</v>
      </c>
      <c r="S199">
        <f t="shared" si="188"/>
        <v>0</v>
      </c>
      <c r="T199">
        <f t="shared" si="189"/>
        <v>0</v>
      </c>
      <c r="U199">
        <f t="shared" si="190"/>
        <v>0</v>
      </c>
      <c r="V199">
        <f t="shared" si="191"/>
        <v>0</v>
      </c>
      <c r="W199">
        <f t="shared" si="192"/>
        <v>0</v>
      </c>
      <c r="X199">
        <f>(ROUND((((S199+ROUND((ROUND(((EU199)*AV199*I199),2)*BS199),2))*AT199)/100),2)+ROUND(((ROUND((ROUND(((AE199-(EU199))*AV199*I199),2)*BS199),2)*AT199)/100),2))</f>
        <v>0</v>
      </c>
      <c r="Y199">
        <f>(ROUND((((S199+ROUND((ROUND(((EU199)*AV199*I199),2)*BS199),2))*AU199)/100),2)+ROUND(((ROUND((ROUND(((AE199-(EU199))*AV199*I199),2)*BS199),2)*AU199)/100),2))</f>
        <v>0</v>
      </c>
      <c r="AA199">
        <v>76282491</v>
      </c>
      <c r="AB199">
        <f t="shared" si="193"/>
        <v>378.22</v>
      </c>
      <c r="AC199">
        <f>ROUND((ES199),6)</f>
        <v>378.22</v>
      </c>
      <c r="AD199">
        <f>ROUND((((ET199)-(EU199))+AE199),6)</f>
        <v>0</v>
      </c>
      <c r="AE199">
        <f t="shared" si="211"/>
        <v>0</v>
      </c>
      <c r="AF199">
        <f t="shared" si="211"/>
        <v>0</v>
      </c>
      <c r="AG199">
        <f t="shared" si="194"/>
        <v>0</v>
      </c>
      <c r="AH199">
        <f t="shared" si="212"/>
        <v>0</v>
      </c>
      <c r="AI199">
        <f t="shared" si="212"/>
        <v>0</v>
      </c>
      <c r="AJ199">
        <f t="shared" si="195"/>
        <v>0</v>
      </c>
      <c r="AK199">
        <v>378.22</v>
      </c>
      <c r="AL199">
        <v>378.22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92</v>
      </c>
      <c r="AU199">
        <v>44</v>
      </c>
      <c r="AV199">
        <v>1</v>
      </c>
      <c r="AW199">
        <v>1</v>
      </c>
      <c r="AZ199">
        <v>1</v>
      </c>
      <c r="BA199">
        <v>1</v>
      </c>
      <c r="BB199">
        <v>1</v>
      </c>
      <c r="BC199">
        <v>1.03</v>
      </c>
      <c r="BD199" t="s">
        <v>3</v>
      </c>
      <c r="BE199" t="s">
        <v>3</v>
      </c>
      <c r="BF199" t="s">
        <v>3</v>
      </c>
      <c r="BG199" t="s">
        <v>3</v>
      </c>
      <c r="BH199">
        <v>3</v>
      </c>
      <c r="BI199">
        <v>1</v>
      </c>
      <c r="BJ199" t="s">
        <v>386</v>
      </c>
      <c r="BM199">
        <v>108</v>
      </c>
      <c r="BN199">
        <v>0</v>
      </c>
      <c r="BO199" t="s">
        <v>384</v>
      </c>
      <c r="BP199">
        <v>1</v>
      </c>
      <c r="BQ199">
        <v>60</v>
      </c>
      <c r="BR199">
        <v>0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 t="s">
        <v>3</v>
      </c>
      <c r="BZ199">
        <v>92</v>
      </c>
      <c r="CA199">
        <v>44</v>
      </c>
      <c r="CB199" t="s">
        <v>3</v>
      </c>
      <c r="CE199">
        <v>1566</v>
      </c>
      <c r="CF199">
        <v>0</v>
      </c>
      <c r="CG199">
        <v>0</v>
      </c>
      <c r="CM199">
        <v>0</v>
      </c>
      <c r="CN199" t="s">
        <v>3</v>
      </c>
      <c r="CO199">
        <v>0</v>
      </c>
      <c r="CP199">
        <f t="shared" si="196"/>
        <v>389.57</v>
      </c>
      <c r="CQ199">
        <f t="shared" si="197"/>
        <v>389.57</v>
      </c>
      <c r="CR199">
        <f>(ROUND((ROUND(((ET199)*AV199*1),2)*BB199),2)+ROUND((ROUND(((AE199-(EU199))*AV199*1),2)*BS199),2))</f>
        <v>0</v>
      </c>
      <c r="CS199">
        <f>(ROUND((ROUND(((EU199)*AV199*1),2)*BS199),2)+ROUND((ROUND(((AE199-(EU199))*AV199*1),2)*BS199),2))</f>
        <v>0</v>
      </c>
      <c r="CT199">
        <f t="shared" si="198"/>
        <v>0</v>
      </c>
      <c r="CU199">
        <f t="shared" si="199"/>
        <v>0</v>
      </c>
      <c r="CV199">
        <f t="shared" si="200"/>
        <v>0</v>
      </c>
      <c r="CW199">
        <f t="shared" si="201"/>
        <v>0</v>
      </c>
      <c r="CX199">
        <f t="shared" si="202"/>
        <v>0</v>
      </c>
      <c r="CY199">
        <f>(ROUND((((S199+ROUND((ROUND(((EU199)*AV199*1),2)*BS199),2))*AT199)/100),2)+ROUND(((ROUND((ROUND(((AE199-(EU199))*AV199*1),2)*BS199),2)*AT199)/100),2))</f>
        <v>0</v>
      </c>
      <c r="CZ199">
        <f>(ROUND((((S199+ROUND((ROUND(((EU199)*AV199*1),2)*BS199),2))*AU199)/100),2)+ROUND(((ROUND((ROUND(((AE199-(EU199))*AV199*1),2)*BS199),2)*AU199)/100),2))</f>
        <v>0</v>
      </c>
      <c r="DC199" t="s">
        <v>3</v>
      </c>
      <c r="DD199" t="s">
        <v>3</v>
      </c>
      <c r="DE199" t="s">
        <v>3</v>
      </c>
      <c r="DF199" t="s">
        <v>3</v>
      </c>
      <c r="DG199" t="s">
        <v>3</v>
      </c>
      <c r="DH199" t="s">
        <v>3</v>
      </c>
      <c r="DI199" t="s">
        <v>3</v>
      </c>
      <c r="DJ199" t="s">
        <v>3</v>
      </c>
      <c r="DK199" t="s">
        <v>3</v>
      </c>
      <c r="DL199" t="s">
        <v>3</v>
      </c>
      <c r="DM199" t="s">
        <v>3</v>
      </c>
      <c r="DN199">
        <v>0</v>
      </c>
      <c r="DO199">
        <v>0</v>
      </c>
      <c r="DP199">
        <v>1</v>
      </c>
      <c r="DQ199">
        <v>1</v>
      </c>
      <c r="DU199">
        <v>1010</v>
      </c>
      <c r="DV199" t="s">
        <v>32</v>
      </c>
      <c r="DW199" t="s">
        <v>32</v>
      </c>
      <c r="DX199">
        <v>1</v>
      </c>
      <c r="DZ199" t="s">
        <v>3</v>
      </c>
      <c r="EA199" t="s">
        <v>3</v>
      </c>
      <c r="EB199" t="s">
        <v>3</v>
      </c>
      <c r="EC199" t="s">
        <v>3</v>
      </c>
      <c r="EE199">
        <v>76282342</v>
      </c>
      <c r="EF199">
        <v>60</v>
      </c>
      <c r="EG199" t="s">
        <v>380</v>
      </c>
      <c r="EH199">
        <v>0</v>
      </c>
      <c r="EI199" t="s">
        <v>3</v>
      </c>
      <c r="EJ199">
        <v>1</v>
      </c>
      <c r="EK199">
        <v>108</v>
      </c>
      <c r="EL199" t="s">
        <v>381</v>
      </c>
      <c r="EM199" t="s">
        <v>382</v>
      </c>
      <c r="EO199" t="s">
        <v>3</v>
      </c>
      <c r="EQ199">
        <v>0</v>
      </c>
      <c r="ER199">
        <v>378.22</v>
      </c>
      <c r="ES199">
        <v>378.22</v>
      </c>
      <c r="ET199">
        <v>0</v>
      </c>
      <c r="EU199">
        <v>0</v>
      </c>
      <c r="EV199">
        <v>0</v>
      </c>
      <c r="EW199">
        <v>0</v>
      </c>
      <c r="EX199">
        <v>0</v>
      </c>
      <c r="FQ199">
        <v>0</v>
      </c>
      <c r="FR199">
        <v>0</v>
      </c>
      <c r="FS199">
        <v>0</v>
      </c>
      <c r="FX199">
        <v>92</v>
      </c>
      <c r="FY199">
        <v>44</v>
      </c>
      <c r="GA199" t="s">
        <v>3</v>
      </c>
      <c r="GD199">
        <v>1</v>
      </c>
      <c r="GF199">
        <v>50041391</v>
      </c>
      <c r="GG199">
        <v>2</v>
      </c>
      <c r="GH199">
        <v>0</v>
      </c>
      <c r="GI199">
        <v>2</v>
      </c>
      <c r="GJ199">
        <v>0</v>
      </c>
      <c r="GK199">
        <v>0</v>
      </c>
      <c r="GL199">
        <f t="shared" si="203"/>
        <v>0</v>
      </c>
      <c r="GM199">
        <f t="shared" si="204"/>
        <v>389.57</v>
      </c>
      <c r="GN199">
        <f t="shared" si="205"/>
        <v>389.57</v>
      </c>
      <c r="GO199">
        <f t="shared" si="206"/>
        <v>0</v>
      </c>
      <c r="GP199">
        <f t="shared" si="207"/>
        <v>0</v>
      </c>
      <c r="GR199">
        <v>0</v>
      </c>
      <c r="GS199">
        <v>0</v>
      </c>
      <c r="GT199">
        <v>0</v>
      </c>
      <c r="GU199" t="s">
        <v>3</v>
      </c>
      <c r="GV199">
        <f t="shared" si="208"/>
        <v>0</v>
      </c>
      <c r="GW199">
        <v>1</v>
      </c>
      <c r="GX199">
        <f t="shared" si="209"/>
        <v>0</v>
      </c>
      <c r="HA199">
        <v>0</v>
      </c>
      <c r="HB199">
        <v>0</v>
      </c>
      <c r="HC199">
        <f t="shared" si="210"/>
        <v>0</v>
      </c>
      <c r="HE199" t="s">
        <v>3</v>
      </c>
      <c r="HF199" t="s">
        <v>3</v>
      </c>
      <c r="HM199" t="s">
        <v>3</v>
      </c>
      <c r="HN199" t="s">
        <v>3</v>
      </c>
      <c r="HO199" t="s">
        <v>3</v>
      </c>
      <c r="HP199" t="s">
        <v>3</v>
      </c>
      <c r="HQ199" t="s">
        <v>3</v>
      </c>
      <c r="HS199">
        <v>0</v>
      </c>
      <c r="IK199">
        <v>0</v>
      </c>
    </row>
    <row r="200" spans="1:245">
      <c r="A200">
        <v>17</v>
      </c>
      <c r="B200">
        <v>1</v>
      </c>
      <c r="E200" t="s">
        <v>387</v>
      </c>
      <c r="F200" t="s">
        <v>388</v>
      </c>
      <c r="G200" t="s">
        <v>389</v>
      </c>
      <c r="H200" t="s">
        <v>378</v>
      </c>
      <c r="I200">
        <f>ROUND(1/100,9)</f>
        <v>0.01</v>
      </c>
      <c r="J200">
        <v>0</v>
      </c>
      <c r="K200">
        <f>ROUND(1/100,9)</f>
        <v>0.01</v>
      </c>
      <c r="O200">
        <f t="shared" si="186"/>
        <v>61.2</v>
      </c>
      <c r="P200">
        <f t="shared" si="187"/>
        <v>0</v>
      </c>
      <c r="Q200">
        <f>(ROUND((ROUND(((((ET200*3)*1.2))*AV200*I200),2)*BB200),2)+ROUND((ROUND(((AE200-(((EU200*3)*1.2)))*AV200*I200),2)*BS200),2))</f>
        <v>0.55000000000000004</v>
      </c>
      <c r="R200">
        <f>(ROUND((ROUND(((((EU200*3)*1.2))*AV200*I200),2)*BS200),2)+ROUND((ROUND(((AE200-(((EU200*3)*1.2)))*AV200*I200),2)*BS200),2))</f>
        <v>0</v>
      </c>
      <c r="S200">
        <f t="shared" si="188"/>
        <v>60.65</v>
      </c>
      <c r="T200">
        <f t="shared" si="189"/>
        <v>0</v>
      </c>
      <c r="U200">
        <f t="shared" si="190"/>
        <v>9.3600000000000017E-2</v>
      </c>
      <c r="V200">
        <f t="shared" si="191"/>
        <v>0</v>
      </c>
      <c r="W200">
        <f t="shared" si="192"/>
        <v>0</v>
      </c>
      <c r="X200">
        <f>(ROUND((((S200+ROUND((ROUND(((((EU200*3)*1.2))*AV200*I200),2)*BS200),2))*AT200)/100),2)+ROUND(((ROUND((ROUND(((AE200-(((EU200*3)*1.2)))*AV200*I200),2)*BS200),2)*AT200)/100),2))</f>
        <v>55.8</v>
      </c>
      <c r="Y200">
        <f>(ROUND((((S200+ROUND((ROUND(((((EU200*3)*1.2))*AV200*I200),2)*BS200),2))*AU200)/100),2)+ROUND(((ROUND((ROUND(((AE200-(((EU200*3)*1.2)))*AV200*I200),2)*BS200),2)*AU200)/100),2))</f>
        <v>26.69</v>
      </c>
      <c r="AA200">
        <v>76282491</v>
      </c>
      <c r="AB200">
        <f t="shared" si="193"/>
        <v>111.852</v>
      </c>
      <c r="AC200">
        <f>ROUND((((ES200*3)*1)),6)</f>
        <v>0</v>
      </c>
      <c r="AD200">
        <f>ROUND((((((ET200*3)*1.2))-(((EU200*3)*1.2)))+AE200),6)</f>
        <v>7.2</v>
      </c>
      <c r="AE200">
        <f>ROUND((((EU200*3)*1.2)),6)</f>
        <v>0</v>
      </c>
      <c r="AF200">
        <f>ROUND((((EV200*3)*1.2)),6)</f>
        <v>104.652</v>
      </c>
      <c r="AG200">
        <f t="shared" si="194"/>
        <v>0</v>
      </c>
      <c r="AH200">
        <f>(((EW200*3)*1.2))</f>
        <v>9.3600000000000012</v>
      </c>
      <c r="AI200">
        <f>(((EX200*3)*1.2))</f>
        <v>0</v>
      </c>
      <c r="AJ200">
        <f t="shared" si="195"/>
        <v>0</v>
      </c>
      <c r="AK200">
        <v>31.07</v>
      </c>
      <c r="AL200">
        <v>0</v>
      </c>
      <c r="AM200">
        <v>2</v>
      </c>
      <c r="AN200">
        <v>0</v>
      </c>
      <c r="AO200">
        <v>29.07</v>
      </c>
      <c r="AP200">
        <v>0</v>
      </c>
      <c r="AQ200">
        <v>2.6</v>
      </c>
      <c r="AR200">
        <v>0</v>
      </c>
      <c r="AS200">
        <v>0</v>
      </c>
      <c r="AT200">
        <v>92</v>
      </c>
      <c r="AU200">
        <v>44</v>
      </c>
      <c r="AV200">
        <v>1</v>
      </c>
      <c r="AW200">
        <v>1</v>
      </c>
      <c r="AZ200">
        <v>1</v>
      </c>
      <c r="BA200">
        <v>57.76</v>
      </c>
      <c r="BB200">
        <v>7.8</v>
      </c>
      <c r="BC200">
        <v>1</v>
      </c>
      <c r="BD200" t="s">
        <v>3</v>
      </c>
      <c r="BE200" t="s">
        <v>3</v>
      </c>
      <c r="BF200" t="s">
        <v>3</v>
      </c>
      <c r="BG200" t="s">
        <v>3</v>
      </c>
      <c r="BH200">
        <v>0</v>
      </c>
      <c r="BI200">
        <v>1</v>
      </c>
      <c r="BJ200" t="s">
        <v>390</v>
      </c>
      <c r="BM200">
        <v>108</v>
      </c>
      <c r="BN200">
        <v>0</v>
      </c>
      <c r="BO200" t="s">
        <v>388</v>
      </c>
      <c r="BP200">
        <v>1</v>
      </c>
      <c r="BQ200">
        <v>60</v>
      </c>
      <c r="BR200">
        <v>0</v>
      </c>
      <c r="BS200">
        <v>57.76</v>
      </c>
      <c r="BT200">
        <v>1</v>
      </c>
      <c r="BU200">
        <v>1</v>
      </c>
      <c r="BV200">
        <v>1</v>
      </c>
      <c r="BW200">
        <v>1</v>
      </c>
      <c r="BX200">
        <v>1</v>
      </c>
      <c r="BY200" t="s">
        <v>3</v>
      </c>
      <c r="BZ200">
        <v>92</v>
      </c>
      <c r="CA200">
        <v>44</v>
      </c>
      <c r="CB200" t="s">
        <v>3</v>
      </c>
      <c r="CE200">
        <v>1566</v>
      </c>
      <c r="CF200">
        <v>0</v>
      </c>
      <c r="CG200">
        <v>0</v>
      </c>
      <c r="CM200">
        <v>0</v>
      </c>
      <c r="CN200" t="s">
        <v>454</v>
      </c>
      <c r="CO200">
        <v>0</v>
      </c>
      <c r="CP200">
        <f t="shared" si="196"/>
        <v>61.199999999999996</v>
      </c>
      <c r="CQ200">
        <f t="shared" si="197"/>
        <v>0</v>
      </c>
      <c r="CR200">
        <f>(ROUND((ROUND(((((ET200*3)*1.2))*AV200*1),2)*BB200),2)+ROUND((ROUND(((AE200-(((EU200*3)*1.2)))*AV200*1),2)*BS200),2))</f>
        <v>56.16</v>
      </c>
      <c r="CS200">
        <f>(ROUND((ROUND(((((EU200*3)*1.2))*AV200*1),2)*BS200),2)+ROUND((ROUND(((AE200-(((EU200*3)*1.2)))*AV200*1),2)*BS200),2))</f>
        <v>0</v>
      </c>
      <c r="CT200">
        <f t="shared" si="198"/>
        <v>6044.58</v>
      </c>
      <c r="CU200">
        <f t="shared" si="199"/>
        <v>0</v>
      </c>
      <c r="CV200">
        <f t="shared" si="200"/>
        <v>9.3600000000000012</v>
      </c>
      <c r="CW200">
        <f t="shared" si="201"/>
        <v>0</v>
      </c>
      <c r="CX200">
        <f t="shared" si="202"/>
        <v>0</v>
      </c>
      <c r="CY200">
        <f>(ROUND((((S200+ROUND((ROUND(((((EU200*3)*1.2))*AV200*1),2)*BS200),2))*AT200)/100),2)+ROUND(((ROUND((ROUND(((AE200-(((EU200*3)*1.2)))*AV200*1),2)*BS200),2)*AT200)/100),2))</f>
        <v>55.8</v>
      </c>
      <c r="CZ200">
        <f>(ROUND((((S200+ROUND((ROUND(((((EU200*3)*1.2))*AV200*1),2)*BS200),2))*AU200)/100),2)+ROUND(((ROUND((ROUND(((AE200-(((EU200*3)*1.2)))*AV200*1),2)*BS200),2)*AU200)/100),2))</f>
        <v>26.69</v>
      </c>
      <c r="DB200">
        <v>31</v>
      </c>
      <c r="DC200" t="s">
        <v>3</v>
      </c>
      <c r="DD200" t="s">
        <v>391</v>
      </c>
      <c r="DE200" t="s">
        <v>392</v>
      </c>
      <c r="DF200" t="s">
        <v>392</v>
      </c>
      <c r="DG200" t="s">
        <v>392</v>
      </c>
      <c r="DH200" t="s">
        <v>3</v>
      </c>
      <c r="DI200" t="s">
        <v>392</v>
      </c>
      <c r="DJ200" t="s">
        <v>392</v>
      </c>
      <c r="DK200" t="s">
        <v>3</v>
      </c>
      <c r="DL200" t="s">
        <v>3</v>
      </c>
      <c r="DM200" t="s">
        <v>3</v>
      </c>
      <c r="DN200">
        <v>0</v>
      </c>
      <c r="DO200">
        <v>0</v>
      </c>
      <c r="DP200">
        <v>1</v>
      </c>
      <c r="DQ200">
        <v>1</v>
      </c>
      <c r="DU200">
        <v>1013</v>
      </c>
      <c r="DV200" t="s">
        <v>378</v>
      </c>
      <c r="DW200" t="s">
        <v>378</v>
      </c>
      <c r="DX200">
        <v>1</v>
      </c>
      <c r="DZ200" t="s">
        <v>3</v>
      </c>
      <c r="EA200" t="s">
        <v>3</v>
      </c>
      <c r="EB200" t="s">
        <v>3</v>
      </c>
      <c r="EC200" t="s">
        <v>3</v>
      </c>
      <c r="EE200">
        <v>76282342</v>
      </c>
      <c r="EF200">
        <v>60</v>
      </c>
      <c r="EG200" t="s">
        <v>380</v>
      </c>
      <c r="EH200">
        <v>0</v>
      </c>
      <c r="EI200" t="s">
        <v>3</v>
      </c>
      <c r="EJ200">
        <v>1</v>
      </c>
      <c r="EK200">
        <v>108</v>
      </c>
      <c r="EL200" t="s">
        <v>381</v>
      </c>
      <c r="EM200" t="s">
        <v>382</v>
      </c>
      <c r="EO200" t="s">
        <v>62</v>
      </c>
      <c r="EQ200">
        <v>131072</v>
      </c>
      <c r="ER200">
        <v>31.07</v>
      </c>
      <c r="ES200">
        <v>0</v>
      </c>
      <c r="ET200">
        <v>2</v>
      </c>
      <c r="EU200">
        <v>0</v>
      </c>
      <c r="EV200">
        <v>29.07</v>
      </c>
      <c r="EW200">
        <v>2.6</v>
      </c>
      <c r="EX200">
        <v>0</v>
      </c>
      <c r="EY200">
        <v>0</v>
      </c>
      <c r="FQ200">
        <v>0</v>
      </c>
      <c r="FR200">
        <v>0</v>
      </c>
      <c r="FS200">
        <v>0</v>
      </c>
      <c r="FX200">
        <v>92</v>
      </c>
      <c r="FY200">
        <v>44</v>
      </c>
      <c r="GA200" t="s">
        <v>3</v>
      </c>
      <c r="GD200">
        <v>1</v>
      </c>
      <c r="GF200">
        <v>-42481199</v>
      </c>
      <c r="GG200">
        <v>2</v>
      </c>
      <c r="GH200">
        <v>0</v>
      </c>
      <c r="GI200">
        <v>2</v>
      </c>
      <c r="GJ200">
        <v>0</v>
      </c>
      <c r="GK200">
        <v>0</v>
      </c>
      <c r="GL200">
        <f t="shared" si="203"/>
        <v>0</v>
      </c>
      <c r="GM200">
        <f t="shared" si="204"/>
        <v>143.69</v>
      </c>
      <c r="GN200">
        <f t="shared" si="205"/>
        <v>143.69</v>
      </c>
      <c r="GO200">
        <f t="shared" si="206"/>
        <v>0</v>
      </c>
      <c r="GP200">
        <f t="shared" si="207"/>
        <v>0</v>
      </c>
      <c r="GR200">
        <v>0</v>
      </c>
      <c r="GS200">
        <v>7</v>
      </c>
      <c r="GT200">
        <v>0</v>
      </c>
      <c r="GU200" t="s">
        <v>3</v>
      </c>
      <c r="GV200">
        <f t="shared" si="208"/>
        <v>0</v>
      </c>
      <c r="GW200">
        <v>1</v>
      </c>
      <c r="GX200">
        <f t="shared" si="209"/>
        <v>0</v>
      </c>
      <c r="HA200">
        <v>0</v>
      </c>
      <c r="HB200">
        <v>0</v>
      </c>
      <c r="HC200">
        <f t="shared" si="210"/>
        <v>0</v>
      </c>
      <c r="HE200" t="s">
        <v>3</v>
      </c>
      <c r="HF200" t="s">
        <v>3</v>
      </c>
      <c r="HM200" t="s">
        <v>3</v>
      </c>
      <c r="HN200" t="s">
        <v>3</v>
      </c>
      <c r="HO200" t="s">
        <v>3</v>
      </c>
      <c r="HP200" t="s">
        <v>3</v>
      </c>
      <c r="HQ200" t="s">
        <v>3</v>
      </c>
      <c r="HS200">
        <v>0</v>
      </c>
      <c r="IK200">
        <v>0</v>
      </c>
    </row>
    <row r="201" spans="1:245">
      <c r="A201">
        <v>17</v>
      </c>
      <c r="B201">
        <v>1</v>
      </c>
      <c r="E201" t="s">
        <v>393</v>
      </c>
      <c r="F201" t="s">
        <v>394</v>
      </c>
      <c r="G201" t="s">
        <v>395</v>
      </c>
      <c r="H201" t="s">
        <v>278</v>
      </c>
      <c r="I201">
        <f>ROUND(0.69*0.25/1000,9)</f>
        <v>1.7249999999999999E-4</v>
      </c>
      <c r="J201">
        <v>0</v>
      </c>
      <c r="K201">
        <f>ROUND(0.69*0.25/1000,9)</f>
        <v>1.7249999999999999E-4</v>
      </c>
      <c r="O201">
        <f t="shared" si="186"/>
        <v>28.47</v>
      </c>
      <c r="P201">
        <f t="shared" si="187"/>
        <v>0</v>
      </c>
      <c r="Q201">
        <f>(ROUND((ROUND((((ET201*1.2))*AV201*I201),2)*BB201),2)+ROUND((ROUND(((AE201-((EU201*1.2)))*AV201*I201),2)*BS201),2))</f>
        <v>0.17</v>
      </c>
      <c r="R201">
        <f>(ROUND((ROUND((((EU201*1.2))*AV201*I201),2)*BS201),2)+ROUND((ROUND(((AE201-((EU201*1.2)))*AV201*I201),2)*BS201),2))</f>
        <v>0</v>
      </c>
      <c r="S201">
        <f t="shared" si="188"/>
        <v>28.3</v>
      </c>
      <c r="T201">
        <f t="shared" si="189"/>
        <v>0</v>
      </c>
      <c r="U201">
        <f t="shared" si="190"/>
        <v>4.0985999999999995E-2</v>
      </c>
      <c r="V201">
        <f t="shared" si="191"/>
        <v>0</v>
      </c>
      <c r="W201">
        <f t="shared" si="192"/>
        <v>0</v>
      </c>
      <c r="X201">
        <f>(ROUND((((S201+ROUND((ROUND((((EU201*1.2))*AV201*I201),2)*BS201),2))*AT201)/100),2)+ROUND(((ROUND((ROUND(((AE201-((EU201*1.2)))*AV201*I201),2)*BS201),2)*AT201)/100),2))</f>
        <v>26.04</v>
      </c>
      <c r="Y201">
        <f>(ROUND((((S201+ROUND((ROUND((((EU201*1.2))*AV201*I201),2)*BS201),2))*AU201)/100),2)+ROUND(((ROUND((ROUND(((AE201-((EU201*1.2)))*AV201*I201),2)*BS201),2)*AU201)/100),2))</f>
        <v>13.87</v>
      </c>
      <c r="AA201">
        <v>76282491</v>
      </c>
      <c r="AB201">
        <f t="shared" si="193"/>
        <v>2876.4839999999999</v>
      </c>
      <c r="AC201">
        <f>ROUND(((ES201*1)),6)</f>
        <v>0</v>
      </c>
      <c r="AD201">
        <f>ROUND(((((ET201*1.2))-((EU201*1.2)))+AE201),6)</f>
        <v>49.043999999999997</v>
      </c>
      <c r="AE201">
        <f>ROUND(((EU201*1.2)),6)</f>
        <v>5.7240000000000002</v>
      </c>
      <c r="AF201">
        <f>ROUND(((EV201*1.2)),6)</f>
        <v>2827.44</v>
      </c>
      <c r="AG201">
        <f t="shared" si="194"/>
        <v>0</v>
      </c>
      <c r="AH201">
        <f>((EW201*1.2))</f>
        <v>237.6</v>
      </c>
      <c r="AI201">
        <f>((EX201*1.2))</f>
        <v>0</v>
      </c>
      <c r="AJ201">
        <f t="shared" si="195"/>
        <v>0</v>
      </c>
      <c r="AK201">
        <v>2397.0700000000002</v>
      </c>
      <c r="AL201">
        <v>0</v>
      </c>
      <c r="AM201">
        <v>40.869999999999997</v>
      </c>
      <c r="AN201">
        <v>4.7699999999999996</v>
      </c>
      <c r="AO201">
        <v>2356.1999999999998</v>
      </c>
      <c r="AP201">
        <v>0</v>
      </c>
      <c r="AQ201">
        <v>198</v>
      </c>
      <c r="AR201">
        <v>0</v>
      </c>
      <c r="AS201">
        <v>0</v>
      </c>
      <c r="AT201">
        <v>92</v>
      </c>
      <c r="AU201">
        <v>49</v>
      </c>
      <c r="AV201">
        <v>1</v>
      </c>
      <c r="AW201">
        <v>1</v>
      </c>
      <c r="AZ201">
        <v>1</v>
      </c>
      <c r="BA201">
        <v>57.76</v>
      </c>
      <c r="BB201">
        <v>16.53</v>
      </c>
      <c r="BC201">
        <v>1</v>
      </c>
      <c r="BD201" t="s">
        <v>3</v>
      </c>
      <c r="BE201" t="s">
        <v>3</v>
      </c>
      <c r="BF201" t="s">
        <v>3</v>
      </c>
      <c r="BG201" t="s">
        <v>3</v>
      </c>
      <c r="BH201">
        <v>0</v>
      </c>
      <c r="BI201">
        <v>1</v>
      </c>
      <c r="BJ201" t="s">
        <v>396</v>
      </c>
      <c r="BM201">
        <v>8</v>
      </c>
      <c r="BN201">
        <v>0</v>
      </c>
      <c r="BO201" t="s">
        <v>394</v>
      </c>
      <c r="BP201">
        <v>1</v>
      </c>
      <c r="BQ201">
        <v>30</v>
      </c>
      <c r="BR201">
        <v>0</v>
      </c>
      <c r="BS201">
        <v>57.76</v>
      </c>
      <c r="BT201">
        <v>1</v>
      </c>
      <c r="BU201">
        <v>1</v>
      </c>
      <c r="BV201">
        <v>1</v>
      </c>
      <c r="BW201">
        <v>1</v>
      </c>
      <c r="BX201">
        <v>1</v>
      </c>
      <c r="BY201" t="s">
        <v>3</v>
      </c>
      <c r="BZ201">
        <v>92</v>
      </c>
      <c r="CA201">
        <v>49</v>
      </c>
      <c r="CB201" t="s">
        <v>3</v>
      </c>
      <c r="CE201">
        <v>1566</v>
      </c>
      <c r="CF201">
        <v>0</v>
      </c>
      <c r="CG201">
        <v>0</v>
      </c>
      <c r="CM201">
        <v>0</v>
      </c>
      <c r="CN201" t="s">
        <v>454</v>
      </c>
      <c r="CO201">
        <v>0</v>
      </c>
      <c r="CP201">
        <f t="shared" si="196"/>
        <v>28.470000000000002</v>
      </c>
      <c r="CQ201">
        <f t="shared" si="197"/>
        <v>0</v>
      </c>
      <c r="CR201">
        <f>(ROUND((ROUND((((ET201*1.2))*AV201*1),2)*BB201),2)+ROUND((ROUND(((AE201-((EU201*1.2)))*AV201*1),2)*BS201),2))</f>
        <v>810.63</v>
      </c>
      <c r="CS201">
        <f>(ROUND((ROUND((((EU201*1.2))*AV201*1),2)*BS201),2)+ROUND((ROUND(((AE201-((EU201*1.2)))*AV201*1),2)*BS201),2))</f>
        <v>330.39</v>
      </c>
      <c r="CT201">
        <f t="shared" si="198"/>
        <v>163312.93</v>
      </c>
      <c r="CU201">
        <f t="shared" si="199"/>
        <v>0</v>
      </c>
      <c r="CV201">
        <f t="shared" si="200"/>
        <v>237.6</v>
      </c>
      <c r="CW201">
        <f t="shared" si="201"/>
        <v>0</v>
      </c>
      <c r="CX201">
        <f t="shared" si="202"/>
        <v>0</v>
      </c>
      <c r="CY201">
        <f>(ROUND((((S201+ROUND((ROUND((((EU201*1.2))*AV201*1),2)*BS201),2))*AT201)/100),2)+ROUND(((ROUND((ROUND(((AE201-((EU201*1.2)))*AV201*1),2)*BS201),2)*AT201)/100),2))</f>
        <v>329.99</v>
      </c>
      <c r="CZ201">
        <f>(ROUND((((S201+ROUND((ROUND((((EU201*1.2))*AV201*1),2)*BS201),2))*AU201)/100),2)+ROUND(((ROUND((ROUND(((AE201-((EU201*1.2)))*AV201*1),2)*BS201),2)*AU201)/100),2))</f>
        <v>175.76</v>
      </c>
      <c r="DB201">
        <v>33</v>
      </c>
      <c r="DC201" t="s">
        <v>3</v>
      </c>
      <c r="DD201" t="s">
        <v>60</v>
      </c>
      <c r="DE201" t="s">
        <v>61</v>
      </c>
      <c r="DF201" t="s">
        <v>61</v>
      </c>
      <c r="DG201" t="s">
        <v>61</v>
      </c>
      <c r="DH201" t="s">
        <v>3</v>
      </c>
      <c r="DI201" t="s">
        <v>61</v>
      </c>
      <c r="DJ201" t="s">
        <v>61</v>
      </c>
      <c r="DK201" t="s">
        <v>3</v>
      </c>
      <c r="DL201" t="s">
        <v>3</v>
      </c>
      <c r="DM201" t="s">
        <v>3</v>
      </c>
      <c r="DN201">
        <v>0</v>
      </c>
      <c r="DO201">
        <v>0</v>
      </c>
      <c r="DP201">
        <v>1</v>
      </c>
      <c r="DQ201">
        <v>1</v>
      </c>
      <c r="DU201">
        <v>1013</v>
      </c>
      <c r="DV201" t="s">
        <v>278</v>
      </c>
      <c r="DW201" t="s">
        <v>278</v>
      </c>
      <c r="DX201">
        <v>1</v>
      </c>
      <c r="DZ201" t="s">
        <v>3</v>
      </c>
      <c r="EA201" t="s">
        <v>3</v>
      </c>
      <c r="EB201" t="s">
        <v>3</v>
      </c>
      <c r="EC201" t="s">
        <v>3</v>
      </c>
      <c r="EE201">
        <v>76282240</v>
      </c>
      <c r="EF201">
        <v>30</v>
      </c>
      <c r="EG201" t="s">
        <v>253</v>
      </c>
      <c r="EH201">
        <v>0</v>
      </c>
      <c r="EI201" t="s">
        <v>3</v>
      </c>
      <c r="EJ201">
        <v>1</v>
      </c>
      <c r="EK201">
        <v>8</v>
      </c>
      <c r="EL201" t="s">
        <v>397</v>
      </c>
      <c r="EM201" t="s">
        <v>398</v>
      </c>
      <c r="EO201" t="s">
        <v>62</v>
      </c>
      <c r="EQ201">
        <v>131072</v>
      </c>
      <c r="ER201">
        <v>2397.0700000000002</v>
      </c>
      <c r="ES201">
        <v>0</v>
      </c>
      <c r="ET201">
        <v>40.869999999999997</v>
      </c>
      <c r="EU201">
        <v>4.7699999999999996</v>
      </c>
      <c r="EV201">
        <v>2356.1999999999998</v>
      </c>
      <c r="EW201">
        <v>198</v>
      </c>
      <c r="EX201">
        <v>0</v>
      </c>
      <c r="EY201">
        <v>0</v>
      </c>
      <c r="FQ201">
        <v>0</v>
      </c>
      <c r="FR201">
        <v>0</v>
      </c>
      <c r="FS201">
        <v>0</v>
      </c>
      <c r="FX201">
        <v>92</v>
      </c>
      <c r="FY201">
        <v>49</v>
      </c>
      <c r="GA201" t="s">
        <v>3</v>
      </c>
      <c r="GD201">
        <v>1</v>
      </c>
      <c r="GF201">
        <v>2115312573</v>
      </c>
      <c r="GG201">
        <v>2</v>
      </c>
      <c r="GH201">
        <v>0</v>
      </c>
      <c r="GI201">
        <v>2</v>
      </c>
      <c r="GJ201">
        <v>0</v>
      </c>
      <c r="GK201">
        <v>0</v>
      </c>
      <c r="GL201">
        <f t="shared" si="203"/>
        <v>0</v>
      </c>
      <c r="GM201">
        <f t="shared" si="204"/>
        <v>68.38</v>
      </c>
      <c r="GN201">
        <f t="shared" si="205"/>
        <v>68.38</v>
      </c>
      <c r="GO201">
        <f t="shared" si="206"/>
        <v>0</v>
      </c>
      <c r="GP201">
        <f t="shared" si="207"/>
        <v>0</v>
      </c>
      <c r="GR201">
        <v>0</v>
      </c>
      <c r="GS201">
        <v>7</v>
      </c>
      <c r="GT201">
        <v>0</v>
      </c>
      <c r="GU201" t="s">
        <v>3</v>
      </c>
      <c r="GV201">
        <f t="shared" si="208"/>
        <v>0</v>
      </c>
      <c r="GW201">
        <v>1</v>
      </c>
      <c r="GX201">
        <f t="shared" si="209"/>
        <v>0</v>
      </c>
      <c r="HA201">
        <v>0</v>
      </c>
      <c r="HB201">
        <v>0</v>
      </c>
      <c r="HC201">
        <f t="shared" si="210"/>
        <v>0</v>
      </c>
      <c r="HE201" t="s">
        <v>3</v>
      </c>
      <c r="HF201" t="s">
        <v>3</v>
      </c>
      <c r="HM201" t="s">
        <v>3</v>
      </c>
      <c r="HN201" t="s">
        <v>3</v>
      </c>
      <c r="HO201" t="s">
        <v>3</v>
      </c>
      <c r="HP201" t="s">
        <v>3</v>
      </c>
      <c r="HQ201" t="s">
        <v>3</v>
      </c>
      <c r="HS201">
        <v>0</v>
      </c>
      <c r="IK201">
        <v>0</v>
      </c>
    </row>
    <row r="202" spans="1:245">
      <c r="A202">
        <v>18</v>
      </c>
      <c r="B202">
        <v>1</v>
      </c>
      <c r="E202" t="s">
        <v>399</v>
      </c>
      <c r="F202" t="s">
        <v>400</v>
      </c>
      <c r="G202" t="s">
        <v>401</v>
      </c>
      <c r="H202" t="s">
        <v>39</v>
      </c>
      <c r="I202">
        <f>I201*J202</f>
        <v>1.73E-4</v>
      </c>
      <c r="J202">
        <v>1.0028985507246377</v>
      </c>
      <c r="K202">
        <v>1</v>
      </c>
      <c r="O202">
        <f t="shared" si="186"/>
        <v>0</v>
      </c>
      <c r="P202">
        <f t="shared" si="187"/>
        <v>0</v>
      </c>
      <c r="Q202">
        <f>(ROUND((ROUND(((ET202)*AV202*I202),2)*BB202),2)+ROUND((ROUND(((AE202-(EU202))*AV202*I202),2)*BS202),2))</f>
        <v>0</v>
      </c>
      <c r="R202">
        <f>(ROUND((ROUND(((EU202)*AV202*I202),2)*BS202),2)+ROUND((ROUND(((AE202-(EU202))*AV202*I202),2)*BS202),2))</f>
        <v>0</v>
      </c>
      <c r="S202">
        <f t="shared" si="188"/>
        <v>0</v>
      </c>
      <c r="T202">
        <f t="shared" si="189"/>
        <v>0</v>
      </c>
      <c r="U202">
        <f t="shared" si="190"/>
        <v>0</v>
      </c>
      <c r="V202">
        <f t="shared" si="191"/>
        <v>0</v>
      </c>
      <c r="W202">
        <f t="shared" si="192"/>
        <v>0</v>
      </c>
      <c r="X202">
        <f>(ROUND((((S202+ROUND((ROUND(((EU202)*AV202*I202),2)*BS202),2))*AT202)/100),2)+ROUND(((ROUND((ROUND(((AE202-(EU202))*AV202*I202),2)*BS202),2)*AT202)/100),2))</f>
        <v>0</v>
      </c>
      <c r="Y202">
        <f>(ROUND((((S202+ROUND((ROUND(((EU202)*AV202*I202),2)*BS202),2))*AU202)/100),2)+ROUND(((ROUND((ROUND(((AE202-(EU202))*AV202*I202),2)*BS202),2)*AU202)/100),2))</f>
        <v>0</v>
      </c>
      <c r="AA202">
        <v>76282491</v>
      </c>
      <c r="AB202">
        <f t="shared" si="193"/>
        <v>0</v>
      </c>
      <c r="AC202">
        <f>ROUND((ES202),6)</f>
        <v>0</v>
      </c>
      <c r="AD202">
        <f>ROUND((((ET202)-(EU202))+AE202),6)</f>
        <v>0</v>
      </c>
      <c r="AE202">
        <f>ROUND((EU202),6)</f>
        <v>0</v>
      </c>
      <c r="AF202">
        <f>ROUND((EV202),6)</f>
        <v>0</v>
      </c>
      <c r="AG202">
        <f t="shared" si="194"/>
        <v>0</v>
      </c>
      <c r="AH202">
        <f>(EW202)</f>
        <v>0</v>
      </c>
      <c r="AI202">
        <f>(EX202)</f>
        <v>0</v>
      </c>
      <c r="AJ202">
        <f t="shared" si="195"/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92</v>
      </c>
      <c r="AU202">
        <v>49</v>
      </c>
      <c r="AV202">
        <v>1</v>
      </c>
      <c r="AW202">
        <v>1</v>
      </c>
      <c r="AZ202">
        <v>1</v>
      </c>
      <c r="BA202">
        <v>1</v>
      </c>
      <c r="BB202">
        <v>1</v>
      </c>
      <c r="BC202">
        <v>1</v>
      </c>
      <c r="BD202" t="s">
        <v>3</v>
      </c>
      <c r="BE202" t="s">
        <v>3</v>
      </c>
      <c r="BF202" t="s">
        <v>3</v>
      </c>
      <c r="BG202" t="s">
        <v>3</v>
      </c>
      <c r="BH202">
        <v>3</v>
      </c>
      <c r="BI202">
        <v>1</v>
      </c>
      <c r="BJ202" t="s">
        <v>3</v>
      </c>
      <c r="BM202">
        <v>8</v>
      </c>
      <c r="BN202">
        <v>0</v>
      </c>
      <c r="BO202" t="s">
        <v>3</v>
      </c>
      <c r="BP202">
        <v>0</v>
      </c>
      <c r="BQ202">
        <v>30</v>
      </c>
      <c r="BR202">
        <v>0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 t="s">
        <v>3</v>
      </c>
      <c r="BZ202">
        <v>92</v>
      </c>
      <c r="CA202">
        <v>49</v>
      </c>
      <c r="CB202" t="s">
        <v>3</v>
      </c>
      <c r="CE202">
        <v>1566</v>
      </c>
      <c r="CF202">
        <v>0</v>
      </c>
      <c r="CG202">
        <v>0</v>
      </c>
      <c r="CM202">
        <v>0</v>
      </c>
      <c r="CN202" t="s">
        <v>454</v>
      </c>
      <c r="CO202">
        <v>0</v>
      </c>
      <c r="CP202">
        <f t="shared" si="196"/>
        <v>0</v>
      </c>
      <c r="CQ202">
        <f t="shared" si="197"/>
        <v>0</v>
      </c>
      <c r="CR202">
        <f>(ROUND((ROUND(((ET202)*AV202*1),2)*BB202),2)+ROUND((ROUND(((AE202-(EU202))*AV202*1),2)*BS202),2))</f>
        <v>0</v>
      </c>
      <c r="CS202">
        <f>(ROUND((ROUND(((EU202)*AV202*1),2)*BS202),2)+ROUND((ROUND(((AE202-(EU202))*AV202*1),2)*BS202),2))</f>
        <v>0</v>
      </c>
      <c r="CT202">
        <f t="shared" si="198"/>
        <v>0</v>
      </c>
      <c r="CU202">
        <f t="shared" si="199"/>
        <v>0</v>
      </c>
      <c r="CV202">
        <f t="shared" si="200"/>
        <v>0</v>
      </c>
      <c r="CW202">
        <f t="shared" si="201"/>
        <v>0</v>
      </c>
      <c r="CX202">
        <f t="shared" si="202"/>
        <v>0</v>
      </c>
      <c r="CY202">
        <f>(ROUND((((S202+ROUND((ROUND(((EU202)*AV202*1),2)*BS202),2))*AT202)/100),2)+ROUND(((ROUND((ROUND(((AE202-(EU202))*AV202*1),2)*BS202),2)*AT202)/100),2))</f>
        <v>0</v>
      </c>
      <c r="CZ202">
        <f>(ROUND((((S202+ROUND((ROUND(((EU202)*AV202*1),2)*BS202),2))*AU202)/100),2)+ROUND(((ROUND((ROUND(((AE202-(EU202))*AV202*1),2)*BS202),2)*AU202)/100),2))</f>
        <v>0</v>
      </c>
      <c r="DC202" t="s">
        <v>3</v>
      </c>
      <c r="DD202" t="s">
        <v>3</v>
      </c>
      <c r="DE202" t="s">
        <v>3</v>
      </c>
      <c r="DF202" t="s">
        <v>3</v>
      </c>
      <c r="DG202" t="s">
        <v>3</v>
      </c>
      <c r="DH202" t="s">
        <v>3</v>
      </c>
      <c r="DI202" t="s">
        <v>3</v>
      </c>
      <c r="DJ202" t="s">
        <v>3</v>
      </c>
      <c r="DK202" t="s">
        <v>3</v>
      </c>
      <c r="DL202" t="s">
        <v>3</v>
      </c>
      <c r="DM202" t="s">
        <v>3</v>
      </c>
      <c r="DN202">
        <v>0</v>
      </c>
      <c r="DO202">
        <v>0</v>
      </c>
      <c r="DP202">
        <v>1</v>
      </c>
      <c r="DQ202">
        <v>1</v>
      </c>
      <c r="DU202">
        <v>1009</v>
      </c>
      <c r="DV202" t="s">
        <v>39</v>
      </c>
      <c r="DW202" t="s">
        <v>39</v>
      </c>
      <c r="DX202">
        <v>1000</v>
      </c>
      <c r="DZ202" t="s">
        <v>3</v>
      </c>
      <c r="EA202" t="s">
        <v>3</v>
      </c>
      <c r="EB202" t="s">
        <v>3</v>
      </c>
      <c r="EC202" t="s">
        <v>3</v>
      </c>
      <c r="EE202">
        <v>76282240</v>
      </c>
      <c r="EF202">
        <v>30</v>
      </c>
      <c r="EG202" t="s">
        <v>253</v>
      </c>
      <c r="EH202">
        <v>0</v>
      </c>
      <c r="EI202" t="s">
        <v>3</v>
      </c>
      <c r="EJ202">
        <v>1</v>
      </c>
      <c r="EK202">
        <v>8</v>
      </c>
      <c r="EL202" t="s">
        <v>397</v>
      </c>
      <c r="EM202" t="s">
        <v>398</v>
      </c>
      <c r="EO202" t="s">
        <v>62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FQ202">
        <v>0</v>
      </c>
      <c r="FR202">
        <v>0</v>
      </c>
      <c r="FS202">
        <v>0</v>
      </c>
      <c r="FX202">
        <v>92</v>
      </c>
      <c r="FY202">
        <v>49</v>
      </c>
      <c r="GA202" t="s">
        <v>3</v>
      </c>
      <c r="GD202">
        <v>1</v>
      </c>
      <c r="GF202">
        <v>126457280</v>
      </c>
      <c r="GG202">
        <v>2</v>
      </c>
      <c r="GH202">
        <v>0</v>
      </c>
      <c r="GI202">
        <v>-2</v>
      </c>
      <c r="GJ202">
        <v>0</v>
      </c>
      <c r="GK202">
        <v>0</v>
      </c>
      <c r="GL202">
        <f t="shared" si="203"/>
        <v>0</v>
      </c>
      <c r="GM202">
        <f t="shared" si="204"/>
        <v>0</v>
      </c>
      <c r="GN202">
        <f t="shared" si="205"/>
        <v>0</v>
      </c>
      <c r="GO202">
        <f t="shared" si="206"/>
        <v>0</v>
      </c>
      <c r="GP202">
        <f t="shared" si="207"/>
        <v>0</v>
      </c>
      <c r="GR202">
        <v>0</v>
      </c>
      <c r="GS202">
        <v>0</v>
      </c>
      <c r="GT202">
        <v>0</v>
      </c>
      <c r="GU202" t="s">
        <v>3</v>
      </c>
      <c r="GV202">
        <f t="shared" si="208"/>
        <v>0</v>
      </c>
      <c r="GW202">
        <v>1</v>
      </c>
      <c r="GX202">
        <f t="shared" si="209"/>
        <v>0</v>
      </c>
      <c r="HA202">
        <v>0</v>
      </c>
      <c r="HB202">
        <v>0</v>
      </c>
      <c r="HC202">
        <f t="shared" si="210"/>
        <v>0</v>
      </c>
      <c r="HE202" t="s">
        <v>3</v>
      </c>
      <c r="HF202" t="s">
        <v>3</v>
      </c>
      <c r="HM202" t="s">
        <v>60</v>
      </c>
      <c r="HN202" t="s">
        <v>3</v>
      </c>
      <c r="HO202" t="s">
        <v>3</v>
      </c>
      <c r="HP202" t="s">
        <v>3</v>
      </c>
      <c r="HQ202" t="s">
        <v>3</v>
      </c>
      <c r="HS202">
        <v>0</v>
      </c>
      <c r="IK202">
        <v>0</v>
      </c>
    </row>
    <row r="203" spans="1:245">
      <c r="A203">
        <v>17</v>
      </c>
      <c r="B203">
        <v>1</v>
      </c>
      <c r="E203" t="s">
        <v>402</v>
      </c>
      <c r="F203" t="s">
        <v>403</v>
      </c>
      <c r="G203" t="s">
        <v>404</v>
      </c>
      <c r="H203" t="s">
        <v>215</v>
      </c>
      <c r="I203">
        <v>0.25</v>
      </c>
      <c r="J203">
        <v>0</v>
      </c>
      <c r="K203">
        <v>0.25</v>
      </c>
      <c r="O203">
        <f t="shared" si="186"/>
        <v>7.11</v>
      </c>
      <c r="P203">
        <f t="shared" si="187"/>
        <v>7.11</v>
      </c>
      <c r="Q203">
        <f>(ROUND((ROUND(((ET203)*AV203*I203),2)*BB203),2)+ROUND((ROUND(((AE203-(EU203))*AV203*I203),2)*BS203),2))</f>
        <v>0</v>
      </c>
      <c r="R203">
        <f>(ROUND((ROUND(((EU203)*AV203*I203),2)*BS203),2)+ROUND((ROUND(((AE203-(EU203))*AV203*I203),2)*BS203),2))</f>
        <v>0</v>
      </c>
      <c r="S203">
        <f t="shared" si="188"/>
        <v>0</v>
      </c>
      <c r="T203">
        <f t="shared" si="189"/>
        <v>0</v>
      </c>
      <c r="U203">
        <f t="shared" si="190"/>
        <v>0</v>
      </c>
      <c r="V203">
        <f t="shared" si="191"/>
        <v>0</v>
      </c>
      <c r="W203">
        <f t="shared" si="192"/>
        <v>0</v>
      </c>
      <c r="X203">
        <f>(ROUND((((S203+ROUND((ROUND(((EU203)*AV203*I203),2)*BS203),2))*AT203)/100),2)+ROUND(((ROUND((ROUND(((AE203-(EU203))*AV203*I203),2)*BS203),2)*AT203)/100),2))</f>
        <v>0</v>
      </c>
      <c r="Y203">
        <f>(ROUND((((S203+ROUND((ROUND(((EU203)*AV203*I203),2)*BS203),2))*AU203)/100),2)+ROUND(((ROUND((ROUND(((AE203-(EU203))*AV203*I203),2)*BS203),2)*AU203)/100),2))</f>
        <v>0</v>
      </c>
      <c r="AA203">
        <v>76282491</v>
      </c>
      <c r="AB203">
        <f t="shared" si="193"/>
        <v>6.8</v>
      </c>
      <c r="AC203">
        <f>ROUND((ES203),6)</f>
        <v>6.8</v>
      </c>
      <c r="AD203">
        <f>ROUND((((ET203)-(EU203))+AE203),6)</f>
        <v>0</v>
      </c>
      <c r="AE203">
        <f>ROUND((EU203),6)</f>
        <v>0</v>
      </c>
      <c r="AF203">
        <f>ROUND((EV203),6)</f>
        <v>0</v>
      </c>
      <c r="AG203">
        <f t="shared" si="194"/>
        <v>0</v>
      </c>
      <c r="AH203">
        <f>(EW203)</f>
        <v>0</v>
      </c>
      <c r="AI203">
        <f>(EX203)</f>
        <v>0</v>
      </c>
      <c r="AJ203">
        <f t="shared" si="195"/>
        <v>0</v>
      </c>
      <c r="AK203">
        <v>6.8</v>
      </c>
      <c r="AL203">
        <v>6.8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1</v>
      </c>
      <c r="AZ203">
        <v>1</v>
      </c>
      <c r="BA203">
        <v>1</v>
      </c>
      <c r="BB203">
        <v>1</v>
      </c>
      <c r="BC203">
        <v>4.18</v>
      </c>
      <c r="BD203" t="s">
        <v>3</v>
      </c>
      <c r="BE203" t="s">
        <v>3</v>
      </c>
      <c r="BF203" t="s">
        <v>3</v>
      </c>
      <c r="BG203" t="s">
        <v>3</v>
      </c>
      <c r="BH203">
        <v>3</v>
      </c>
      <c r="BI203">
        <v>1</v>
      </c>
      <c r="BJ203" t="s">
        <v>405</v>
      </c>
      <c r="BM203">
        <v>1617</v>
      </c>
      <c r="BN203">
        <v>0</v>
      </c>
      <c r="BO203" t="s">
        <v>403</v>
      </c>
      <c r="BP203">
        <v>1</v>
      </c>
      <c r="BQ203">
        <v>200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 t="s">
        <v>3</v>
      </c>
      <c r="BZ203">
        <v>0</v>
      </c>
      <c r="CA203">
        <v>0</v>
      </c>
      <c r="CB203" t="s">
        <v>3</v>
      </c>
      <c r="CE203">
        <v>1566</v>
      </c>
      <c r="CF203">
        <v>0</v>
      </c>
      <c r="CG203">
        <v>0</v>
      </c>
      <c r="CM203">
        <v>0</v>
      </c>
      <c r="CN203" t="s">
        <v>3</v>
      </c>
      <c r="CO203">
        <v>0</v>
      </c>
      <c r="CP203">
        <f t="shared" si="196"/>
        <v>7.11</v>
      </c>
      <c r="CQ203">
        <f t="shared" si="197"/>
        <v>28.42</v>
      </c>
      <c r="CR203">
        <f>(ROUND((ROUND(((ET203)*AV203*1),2)*BB203),2)+ROUND((ROUND(((AE203-(EU203))*AV203*1),2)*BS203),2))</f>
        <v>0</v>
      </c>
      <c r="CS203">
        <f>(ROUND((ROUND(((EU203)*AV203*1),2)*BS203),2)+ROUND((ROUND(((AE203-(EU203))*AV203*1),2)*BS203),2))</f>
        <v>0</v>
      </c>
      <c r="CT203">
        <f t="shared" si="198"/>
        <v>0</v>
      </c>
      <c r="CU203">
        <f t="shared" si="199"/>
        <v>0</v>
      </c>
      <c r="CV203">
        <f t="shared" si="200"/>
        <v>0</v>
      </c>
      <c r="CW203">
        <f t="shared" si="201"/>
        <v>0</v>
      </c>
      <c r="CX203">
        <f t="shared" si="202"/>
        <v>0</v>
      </c>
      <c r="CY203">
        <f>(ROUND((((S203+ROUND((ROUND(((EU203)*AV203*1),2)*BS203),2))*AT203)/100),2)+ROUND(((ROUND((ROUND(((AE203-(EU203))*AV203*1),2)*BS203),2)*AT203)/100),2))</f>
        <v>0</v>
      </c>
      <c r="CZ203">
        <f>(ROUND((((S203+ROUND((ROUND(((EU203)*AV203*1),2)*BS203),2))*AU203)/100),2)+ROUND(((ROUND((ROUND(((AE203-(EU203))*AV203*1),2)*BS203),2)*AU203)/100),2))</f>
        <v>0</v>
      </c>
      <c r="DC203" t="s">
        <v>3</v>
      </c>
      <c r="DD203" t="s">
        <v>3</v>
      </c>
      <c r="DE203" t="s">
        <v>3</v>
      </c>
      <c r="DF203" t="s">
        <v>3</v>
      </c>
      <c r="DG203" t="s">
        <v>3</v>
      </c>
      <c r="DH203" t="s">
        <v>3</v>
      </c>
      <c r="DI203" t="s">
        <v>3</v>
      </c>
      <c r="DJ203" t="s">
        <v>3</v>
      </c>
      <c r="DK203" t="s">
        <v>3</v>
      </c>
      <c r="DL203" t="s">
        <v>3</v>
      </c>
      <c r="DM203" t="s">
        <v>3</v>
      </c>
      <c r="DN203">
        <v>0</v>
      </c>
      <c r="DO203">
        <v>0</v>
      </c>
      <c r="DP203">
        <v>1</v>
      </c>
      <c r="DQ203">
        <v>1</v>
      </c>
      <c r="DU203">
        <v>1003</v>
      </c>
      <c r="DV203" t="s">
        <v>215</v>
      </c>
      <c r="DW203" t="s">
        <v>215</v>
      </c>
      <c r="DX203">
        <v>1</v>
      </c>
      <c r="DZ203" t="s">
        <v>3</v>
      </c>
      <c r="EA203" t="s">
        <v>3</v>
      </c>
      <c r="EB203" t="s">
        <v>3</v>
      </c>
      <c r="EC203" t="s">
        <v>3</v>
      </c>
      <c r="EE203">
        <v>76282428</v>
      </c>
      <c r="EF203">
        <v>200</v>
      </c>
      <c r="EG203" t="s">
        <v>232</v>
      </c>
      <c r="EH203">
        <v>0</v>
      </c>
      <c r="EI203" t="s">
        <v>3</v>
      </c>
      <c r="EJ203">
        <v>1</v>
      </c>
      <c r="EK203">
        <v>1617</v>
      </c>
      <c r="EL203" t="s">
        <v>233</v>
      </c>
      <c r="EM203" t="s">
        <v>234</v>
      </c>
      <c r="EO203" t="s">
        <v>3</v>
      </c>
      <c r="EQ203">
        <v>131072</v>
      </c>
      <c r="ER203">
        <v>6.8</v>
      </c>
      <c r="ES203">
        <v>6.8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FQ203">
        <v>0</v>
      </c>
      <c r="FR203">
        <v>0</v>
      </c>
      <c r="FS203">
        <v>0</v>
      </c>
      <c r="FX203">
        <v>0</v>
      </c>
      <c r="FY203">
        <v>0</v>
      </c>
      <c r="GA203" t="s">
        <v>3</v>
      </c>
      <c r="GD203">
        <v>1</v>
      </c>
      <c r="GF203">
        <v>987211594</v>
      </c>
      <c r="GG203">
        <v>2</v>
      </c>
      <c r="GH203">
        <v>0</v>
      </c>
      <c r="GI203">
        <v>2</v>
      </c>
      <c r="GJ203">
        <v>0</v>
      </c>
      <c r="GK203">
        <v>0</v>
      </c>
      <c r="GL203">
        <f t="shared" si="203"/>
        <v>0</v>
      </c>
      <c r="GM203">
        <f t="shared" si="204"/>
        <v>7.11</v>
      </c>
      <c r="GN203">
        <f t="shared" si="205"/>
        <v>7.11</v>
      </c>
      <c r="GO203">
        <f t="shared" si="206"/>
        <v>0</v>
      </c>
      <c r="GP203">
        <f t="shared" si="207"/>
        <v>0</v>
      </c>
      <c r="GR203">
        <v>0</v>
      </c>
      <c r="GS203">
        <v>0</v>
      </c>
      <c r="GT203">
        <v>0</v>
      </c>
      <c r="GU203" t="s">
        <v>3</v>
      </c>
      <c r="GV203">
        <f t="shared" si="208"/>
        <v>0</v>
      </c>
      <c r="GW203">
        <v>1</v>
      </c>
      <c r="GX203">
        <f t="shared" si="209"/>
        <v>0</v>
      </c>
      <c r="HA203">
        <v>0</v>
      </c>
      <c r="HB203">
        <v>0</v>
      </c>
      <c r="HC203">
        <f t="shared" si="210"/>
        <v>0</v>
      </c>
      <c r="HE203" t="s">
        <v>3</v>
      </c>
      <c r="HF203" t="s">
        <v>3</v>
      </c>
      <c r="HM203" t="s">
        <v>3</v>
      </c>
      <c r="HN203" t="s">
        <v>3</v>
      </c>
      <c r="HO203" t="s">
        <v>3</v>
      </c>
      <c r="HP203" t="s">
        <v>3</v>
      </c>
      <c r="HQ203" t="s">
        <v>3</v>
      </c>
      <c r="HS203">
        <v>0</v>
      </c>
      <c r="IK203">
        <v>0</v>
      </c>
    </row>
    <row r="204" spans="1:245">
      <c r="A204">
        <v>17</v>
      </c>
      <c r="B204">
        <v>1</v>
      </c>
      <c r="E204" t="s">
        <v>406</v>
      </c>
      <c r="F204" t="s">
        <v>407</v>
      </c>
      <c r="G204" t="s">
        <v>408</v>
      </c>
      <c r="H204" t="s">
        <v>409</v>
      </c>
      <c r="I204">
        <v>1</v>
      </c>
      <c r="J204">
        <v>0</v>
      </c>
      <c r="K204">
        <v>1</v>
      </c>
      <c r="O204">
        <f t="shared" si="186"/>
        <v>891.52</v>
      </c>
      <c r="P204">
        <f t="shared" si="187"/>
        <v>490.09</v>
      </c>
      <c r="Q204">
        <f>(ROUND((ROUND((((ET204*1.2))*AV204*I204),2)*BB204),2)+ROUND((ROUND(((AE204-((EU204*1.2)))*AV204*I204),2)*BS204),2))</f>
        <v>0</v>
      </c>
      <c r="R204">
        <f>(ROUND((ROUND((((EU204*1.2))*AV204*I204),2)*BS204),2)+ROUND((ROUND(((AE204-((EU204*1.2)))*AV204*I204),2)*BS204),2))</f>
        <v>0</v>
      </c>
      <c r="S204">
        <f t="shared" si="188"/>
        <v>401.43</v>
      </c>
      <c r="T204">
        <f t="shared" si="189"/>
        <v>0</v>
      </c>
      <c r="U204">
        <f t="shared" si="190"/>
        <v>0.56399999999999995</v>
      </c>
      <c r="V204">
        <f t="shared" si="191"/>
        <v>0</v>
      </c>
      <c r="W204">
        <f t="shared" si="192"/>
        <v>0</v>
      </c>
      <c r="X204">
        <f>(ROUND((((S204+ROUND((ROUND((((EU204*1.2))*AV204*I204),2)*BS204),2))*AT204)/100),2)+ROUND(((ROUND((ROUND(((AE204-((EU204*1.2)))*AV204*I204),2)*BS204),2)*AT204)/100),2))</f>
        <v>389.39</v>
      </c>
      <c r="Y204">
        <f>(ROUND((((S204+ROUND((ROUND((((EU204*1.2))*AV204*I204),2)*BS204),2))*AU204)/100),2)+ROUND(((ROUND((ROUND(((AE204-((EU204*1.2)))*AV204*I204),2)*BS204),2)*AU204)/100),2))</f>
        <v>204.73</v>
      </c>
      <c r="AA204">
        <v>76282491</v>
      </c>
      <c r="AB204">
        <f t="shared" si="193"/>
        <v>66.138000000000005</v>
      </c>
      <c r="AC204">
        <f>ROUND(((ES204*1)),6)</f>
        <v>59.19</v>
      </c>
      <c r="AD204">
        <f>ROUND(((((ET204*1.2))-((EU204*1.2)))+AE204),6)</f>
        <v>0</v>
      </c>
      <c r="AE204">
        <f>ROUND(((EU204*1.2)),6)</f>
        <v>0</v>
      </c>
      <c r="AF204">
        <f>ROUND(((EV204*1.2)),6)</f>
        <v>6.9480000000000004</v>
      </c>
      <c r="AG204">
        <f t="shared" si="194"/>
        <v>0</v>
      </c>
      <c r="AH204">
        <f>((EW204*1.2))</f>
        <v>0.56399999999999995</v>
      </c>
      <c r="AI204">
        <f>((EX204*1.2))</f>
        <v>0</v>
      </c>
      <c r="AJ204">
        <f t="shared" si="195"/>
        <v>0</v>
      </c>
      <c r="AK204">
        <v>64.98</v>
      </c>
      <c r="AL204">
        <v>59.19</v>
      </c>
      <c r="AM204">
        <v>0</v>
      </c>
      <c r="AN204">
        <v>0</v>
      </c>
      <c r="AO204">
        <v>5.79</v>
      </c>
      <c r="AP204">
        <v>0</v>
      </c>
      <c r="AQ204">
        <v>0.47</v>
      </c>
      <c r="AR204">
        <v>0</v>
      </c>
      <c r="AS204">
        <v>0</v>
      </c>
      <c r="AT204">
        <v>97</v>
      </c>
      <c r="AU204">
        <v>51</v>
      </c>
      <c r="AV204">
        <v>1</v>
      </c>
      <c r="AW204">
        <v>1</v>
      </c>
      <c r="AZ204">
        <v>1</v>
      </c>
      <c r="BA204">
        <v>57.76</v>
      </c>
      <c r="BB204">
        <v>1</v>
      </c>
      <c r="BC204">
        <v>8.2799999999999994</v>
      </c>
      <c r="BD204" t="s">
        <v>3</v>
      </c>
      <c r="BE204" t="s">
        <v>3</v>
      </c>
      <c r="BF204" t="s">
        <v>3</v>
      </c>
      <c r="BG204" t="s">
        <v>3</v>
      </c>
      <c r="BH204">
        <v>0</v>
      </c>
      <c r="BI204">
        <v>2</v>
      </c>
      <c r="BJ204" t="s">
        <v>410</v>
      </c>
      <c r="BM204">
        <v>67</v>
      </c>
      <c r="BN204">
        <v>0</v>
      </c>
      <c r="BO204" t="s">
        <v>407</v>
      </c>
      <c r="BP204">
        <v>1</v>
      </c>
      <c r="BQ204">
        <v>40</v>
      </c>
      <c r="BR204">
        <v>0</v>
      </c>
      <c r="BS204">
        <v>57.76</v>
      </c>
      <c r="BT204">
        <v>1</v>
      </c>
      <c r="BU204">
        <v>1</v>
      </c>
      <c r="BV204">
        <v>1</v>
      </c>
      <c r="BW204">
        <v>1</v>
      </c>
      <c r="BX204">
        <v>1</v>
      </c>
      <c r="BY204" t="s">
        <v>3</v>
      </c>
      <c r="BZ204">
        <v>97</v>
      </c>
      <c r="CA204">
        <v>51</v>
      </c>
      <c r="CB204" t="s">
        <v>3</v>
      </c>
      <c r="CE204">
        <v>1566</v>
      </c>
      <c r="CF204">
        <v>0</v>
      </c>
      <c r="CG204">
        <v>0</v>
      </c>
      <c r="CM204">
        <v>0</v>
      </c>
      <c r="CN204" t="s">
        <v>454</v>
      </c>
      <c r="CO204">
        <v>0</v>
      </c>
      <c r="CP204">
        <f t="shared" si="196"/>
        <v>891.52</v>
      </c>
      <c r="CQ204">
        <f t="shared" si="197"/>
        <v>490.09</v>
      </c>
      <c r="CR204">
        <f>(ROUND((ROUND((((ET204*1.2))*AV204*1),2)*BB204),2)+ROUND((ROUND(((AE204-((EU204*1.2)))*AV204*1),2)*BS204),2))</f>
        <v>0</v>
      </c>
      <c r="CS204">
        <f>(ROUND((ROUND((((EU204*1.2))*AV204*1),2)*BS204),2)+ROUND((ROUND(((AE204-((EU204*1.2)))*AV204*1),2)*BS204),2))</f>
        <v>0</v>
      </c>
      <c r="CT204">
        <f t="shared" si="198"/>
        <v>401.43</v>
      </c>
      <c r="CU204">
        <f t="shared" si="199"/>
        <v>0</v>
      </c>
      <c r="CV204">
        <f t="shared" si="200"/>
        <v>0.56399999999999995</v>
      </c>
      <c r="CW204">
        <f t="shared" si="201"/>
        <v>0</v>
      </c>
      <c r="CX204">
        <f t="shared" si="202"/>
        <v>0</v>
      </c>
      <c r="CY204">
        <f>(ROUND((((S204+ROUND((ROUND((((EU204*1.2))*AV204*1),2)*BS204),2))*AT204)/100),2)+ROUND(((ROUND((ROUND(((AE204-((EU204*1.2)))*AV204*1),2)*BS204),2)*AT204)/100),2))</f>
        <v>389.39</v>
      </c>
      <c r="CZ204">
        <f>(ROUND((((S204+ROUND((ROUND((((EU204*1.2))*AV204*1),2)*BS204),2))*AU204)/100),2)+ROUND(((ROUND((ROUND(((AE204-((EU204*1.2)))*AV204*1),2)*BS204),2)*AU204)/100),2))</f>
        <v>204.73</v>
      </c>
      <c r="DB204">
        <v>34</v>
      </c>
      <c r="DC204" t="s">
        <v>3</v>
      </c>
      <c r="DD204" t="s">
        <v>60</v>
      </c>
      <c r="DE204" t="s">
        <v>61</v>
      </c>
      <c r="DF204" t="s">
        <v>61</v>
      </c>
      <c r="DG204" t="s">
        <v>61</v>
      </c>
      <c r="DH204" t="s">
        <v>3</v>
      </c>
      <c r="DI204" t="s">
        <v>61</v>
      </c>
      <c r="DJ204" t="s">
        <v>61</v>
      </c>
      <c r="DK204" t="s">
        <v>3</v>
      </c>
      <c r="DL204" t="s">
        <v>3</v>
      </c>
      <c r="DM204" t="s">
        <v>3</v>
      </c>
      <c r="DN204">
        <v>0</v>
      </c>
      <c r="DO204">
        <v>0</v>
      </c>
      <c r="DP204">
        <v>1</v>
      </c>
      <c r="DQ204">
        <v>1</v>
      </c>
      <c r="DU204">
        <v>1013</v>
      </c>
      <c r="DV204" t="s">
        <v>409</v>
      </c>
      <c r="DW204" t="s">
        <v>409</v>
      </c>
      <c r="DX204">
        <v>1</v>
      </c>
      <c r="DZ204" t="s">
        <v>3</v>
      </c>
      <c r="EA204" t="s">
        <v>3</v>
      </c>
      <c r="EB204" t="s">
        <v>3</v>
      </c>
      <c r="EC204" t="s">
        <v>3</v>
      </c>
      <c r="EE204">
        <v>76282301</v>
      </c>
      <c r="EF204">
        <v>40</v>
      </c>
      <c r="EG204" t="s">
        <v>20</v>
      </c>
      <c r="EH204">
        <v>0</v>
      </c>
      <c r="EI204" t="s">
        <v>3</v>
      </c>
      <c r="EJ204">
        <v>2</v>
      </c>
      <c r="EK204">
        <v>67</v>
      </c>
      <c r="EL204" t="s">
        <v>21</v>
      </c>
      <c r="EM204" t="s">
        <v>22</v>
      </c>
      <c r="EO204" t="s">
        <v>62</v>
      </c>
      <c r="EQ204">
        <v>131072</v>
      </c>
      <c r="ER204">
        <v>64.98</v>
      </c>
      <c r="ES204">
        <v>59.19</v>
      </c>
      <c r="ET204">
        <v>0</v>
      </c>
      <c r="EU204">
        <v>0</v>
      </c>
      <c r="EV204">
        <v>5.79</v>
      </c>
      <c r="EW204">
        <v>0.47</v>
      </c>
      <c r="EX204">
        <v>0</v>
      </c>
      <c r="EY204">
        <v>0</v>
      </c>
      <c r="FQ204">
        <v>0</v>
      </c>
      <c r="FR204">
        <v>0</v>
      </c>
      <c r="FS204">
        <v>0</v>
      </c>
      <c r="FX204">
        <v>97</v>
      </c>
      <c r="FY204">
        <v>51</v>
      </c>
      <c r="GA204" t="s">
        <v>3</v>
      </c>
      <c r="GD204">
        <v>1</v>
      </c>
      <c r="GF204">
        <v>2033198458</v>
      </c>
      <c r="GG204">
        <v>2</v>
      </c>
      <c r="GH204">
        <v>0</v>
      </c>
      <c r="GI204">
        <v>2</v>
      </c>
      <c r="GJ204">
        <v>0</v>
      </c>
      <c r="GK204">
        <v>0</v>
      </c>
      <c r="GL204">
        <f t="shared" si="203"/>
        <v>0</v>
      </c>
      <c r="GM204">
        <f t="shared" si="204"/>
        <v>1485.64</v>
      </c>
      <c r="GN204">
        <f t="shared" si="205"/>
        <v>0</v>
      </c>
      <c r="GO204">
        <f t="shared" si="206"/>
        <v>1485.64</v>
      </c>
      <c r="GP204">
        <f t="shared" si="207"/>
        <v>0</v>
      </c>
      <c r="GR204">
        <v>0</v>
      </c>
      <c r="GS204">
        <v>7</v>
      </c>
      <c r="GT204">
        <v>0</v>
      </c>
      <c r="GU204" t="s">
        <v>3</v>
      </c>
      <c r="GV204">
        <f t="shared" si="208"/>
        <v>0</v>
      </c>
      <c r="GW204">
        <v>1</v>
      </c>
      <c r="GX204">
        <f t="shared" si="209"/>
        <v>0</v>
      </c>
      <c r="HA204">
        <v>0</v>
      </c>
      <c r="HB204">
        <v>0</v>
      </c>
      <c r="HC204">
        <f t="shared" si="210"/>
        <v>0</v>
      </c>
      <c r="HE204" t="s">
        <v>3</v>
      </c>
      <c r="HF204" t="s">
        <v>3</v>
      </c>
      <c r="HM204" t="s">
        <v>3</v>
      </c>
      <c r="HN204" t="s">
        <v>3</v>
      </c>
      <c r="HO204" t="s">
        <v>3</v>
      </c>
      <c r="HP204" t="s">
        <v>3</v>
      </c>
      <c r="HQ204" t="s">
        <v>3</v>
      </c>
      <c r="HS204">
        <v>0</v>
      </c>
      <c r="IK204">
        <v>0</v>
      </c>
    </row>
    <row r="205" spans="1:245">
      <c r="A205">
        <v>17</v>
      </c>
      <c r="B205">
        <v>1</v>
      </c>
      <c r="E205" t="s">
        <v>411</v>
      </c>
      <c r="F205" t="s">
        <v>110</v>
      </c>
      <c r="G205" t="s">
        <v>111</v>
      </c>
      <c r="H205" t="s">
        <v>16</v>
      </c>
      <c r="I205">
        <v>1</v>
      </c>
      <c r="J205">
        <v>0</v>
      </c>
      <c r="K205">
        <v>1</v>
      </c>
      <c r="O205">
        <f t="shared" si="186"/>
        <v>1022.93</v>
      </c>
      <c r="P205">
        <f t="shared" si="187"/>
        <v>0</v>
      </c>
      <c r="Q205">
        <f>(ROUND((ROUND(((ET205)*AV205*I205),2)*BB205),2)+ROUND((ROUND(((AE205-(EU205))*AV205*I205),2)*BS205),2))</f>
        <v>0</v>
      </c>
      <c r="R205">
        <f>(ROUND((ROUND(((EU205)*AV205*I205),2)*BS205),2)+ROUND((ROUND(((AE205-(EU205))*AV205*I205),2)*BS205),2))</f>
        <v>0</v>
      </c>
      <c r="S205">
        <f t="shared" si="188"/>
        <v>1022.93</v>
      </c>
      <c r="T205">
        <f t="shared" si="189"/>
        <v>0</v>
      </c>
      <c r="U205">
        <f t="shared" si="190"/>
        <v>1.44</v>
      </c>
      <c r="V205">
        <f t="shared" si="191"/>
        <v>0</v>
      </c>
      <c r="W205">
        <f t="shared" si="192"/>
        <v>0</v>
      </c>
      <c r="X205">
        <f>(ROUND((((S205+ROUND((ROUND(((EU205)*AV205*I205),2)*BS205),2))*AT205)/100),2)+ROUND(((ROUND((ROUND(((AE205-(EU205))*AV205*I205),2)*BS205),2)*AT205)/100),2))</f>
        <v>756.97</v>
      </c>
      <c r="Y205">
        <f>(ROUND((((S205+ROUND((ROUND(((EU205)*AV205*I205),2)*BS205),2))*AU205)/100),2)+ROUND(((ROUND((ROUND(((AE205-(EU205))*AV205*I205),2)*BS205),2)*AU205)/100),2))</f>
        <v>368.25</v>
      </c>
      <c r="AA205">
        <v>76282491</v>
      </c>
      <c r="AB205">
        <f t="shared" si="193"/>
        <v>17.71</v>
      </c>
      <c r="AC205">
        <f>ROUND((ES205),6)</f>
        <v>0</v>
      </c>
      <c r="AD205">
        <f>ROUND((((ET205)-(EU205))+AE205),6)</f>
        <v>0</v>
      </c>
      <c r="AE205">
        <f t="shared" ref="AE205:AF208" si="213">ROUND((EU205),6)</f>
        <v>0</v>
      </c>
      <c r="AF205">
        <f t="shared" si="213"/>
        <v>17.71</v>
      </c>
      <c r="AG205">
        <f t="shared" si="194"/>
        <v>0</v>
      </c>
      <c r="AH205">
        <f t="shared" ref="AH205:AI208" si="214">(EW205)</f>
        <v>1.44</v>
      </c>
      <c r="AI205">
        <f t="shared" si="214"/>
        <v>0</v>
      </c>
      <c r="AJ205">
        <f t="shared" si="195"/>
        <v>0</v>
      </c>
      <c r="AK205">
        <v>17.71</v>
      </c>
      <c r="AL205">
        <v>0</v>
      </c>
      <c r="AM205">
        <v>0</v>
      </c>
      <c r="AN205">
        <v>0</v>
      </c>
      <c r="AO205">
        <v>17.71</v>
      </c>
      <c r="AP205">
        <v>0</v>
      </c>
      <c r="AQ205">
        <v>1.44</v>
      </c>
      <c r="AR205">
        <v>0</v>
      </c>
      <c r="AS205">
        <v>0</v>
      </c>
      <c r="AT205">
        <v>74</v>
      </c>
      <c r="AU205">
        <v>36</v>
      </c>
      <c r="AV205">
        <v>1</v>
      </c>
      <c r="AW205">
        <v>1</v>
      </c>
      <c r="AZ205">
        <v>1</v>
      </c>
      <c r="BA205">
        <v>57.76</v>
      </c>
      <c r="BB205">
        <v>1</v>
      </c>
      <c r="BC205">
        <v>1</v>
      </c>
      <c r="BD205" t="s">
        <v>3</v>
      </c>
      <c r="BE205" t="s">
        <v>3</v>
      </c>
      <c r="BF205" t="s">
        <v>3</v>
      </c>
      <c r="BG205" t="s">
        <v>3</v>
      </c>
      <c r="BH205">
        <v>0</v>
      </c>
      <c r="BI205">
        <v>4</v>
      </c>
      <c r="BJ205" t="s">
        <v>112</v>
      </c>
      <c r="BM205">
        <v>86</v>
      </c>
      <c r="BN205">
        <v>0</v>
      </c>
      <c r="BO205" t="s">
        <v>3</v>
      </c>
      <c r="BP205">
        <v>0</v>
      </c>
      <c r="BQ205">
        <v>50</v>
      </c>
      <c r="BR205">
        <v>0</v>
      </c>
      <c r="BS205">
        <v>57.76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74</v>
      </c>
      <c r="CA205">
        <v>36</v>
      </c>
      <c r="CB205" t="s">
        <v>3</v>
      </c>
      <c r="CE205">
        <v>1566</v>
      </c>
      <c r="CF205">
        <v>0</v>
      </c>
      <c r="CG205">
        <v>0</v>
      </c>
      <c r="CM205">
        <v>0</v>
      </c>
      <c r="CN205" t="s">
        <v>3</v>
      </c>
      <c r="CO205">
        <v>0</v>
      </c>
      <c r="CP205">
        <f t="shared" si="196"/>
        <v>1022.93</v>
      </c>
      <c r="CQ205">
        <f t="shared" si="197"/>
        <v>0</v>
      </c>
      <c r="CR205">
        <f>(ROUND((ROUND(((ET205)*AV205*1),2)*BB205),2)+ROUND((ROUND(((AE205-(EU205))*AV205*1),2)*BS205),2))</f>
        <v>0</v>
      </c>
      <c r="CS205">
        <f>(ROUND((ROUND(((EU205)*AV205*1),2)*BS205),2)+ROUND((ROUND(((AE205-(EU205))*AV205*1),2)*BS205),2))</f>
        <v>0</v>
      </c>
      <c r="CT205">
        <f t="shared" si="198"/>
        <v>1022.93</v>
      </c>
      <c r="CU205">
        <f t="shared" si="199"/>
        <v>0</v>
      </c>
      <c r="CV205">
        <f t="shared" si="200"/>
        <v>1.44</v>
      </c>
      <c r="CW205">
        <f t="shared" si="201"/>
        <v>0</v>
      </c>
      <c r="CX205">
        <f t="shared" si="202"/>
        <v>0</v>
      </c>
      <c r="CY205">
        <f>(ROUND((((S205+ROUND((ROUND(((EU205)*AV205*1),2)*BS205),2))*AT205)/100),2)+ROUND(((ROUND((ROUND(((AE205-(EU205))*AV205*1),2)*BS205),2)*AT205)/100),2))</f>
        <v>756.97</v>
      </c>
      <c r="CZ205">
        <f>(ROUND((((S205+ROUND((ROUND(((EU205)*AV205*1),2)*BS205),2))*AU205)/100),2)+ROUND(((ROUND((ROUND(((AE205-(EU205))*AV205*1),2)*BS205),2)*AU205)/100),2))</f>
        <v>368.25</v>
      </c>
      <c r="DC205" t="s">
        <v>3</v>
      </c>
      <c r="DD205" t="s">
        <v>3</v>
      </c>
      <c r="DE205" t="s">
        <v>3</v>
      </c>
      <c r="DF205" t="s">
        <v>3</v>
      </c>
      <c r="DG205" t="s">
        <v>3</v>
      </c>
      <c r="DH205" t="s">
        <v>3</v>
      </c>
      <c r="DI205" t="s">
        <v>3</v>
      </c>
      <c r="DJ205" t="s">
        <v>3</v>
      </c>
      <c r="DK205" t="s">
        <v>3</v>
      </c>
      <c r="DL205" t="s">
        <v>3</v>
      </c>
      <c r="DM205" t="s">
        <v>3</v>
      </c>
      <c r="DN205">
        <v>0</v>
      </c>
      <c r="DO205">
        <v>0</v>
      </c>
      <c r="DP205">
        <v>1</v>
      </c>
      <c r="DQ205">
        <v>1</v>
      </c>
      <c r="DU205">
        <v>1013</v>
      </c>
      <c r="DV205" t="s">
        <v>16</v>
      </c>
      <c r="DW205" t="s">
        <v>16</v>
      </c>
      <c r="DX205">
        <v>1</v>
      </c>
      <c r="DZ205" t="s">
        <v>3</v>
      </c>
      <c r="EA205" t="s">
        <v>3</v>
      </c>
      <c r="EB205" t="s">
        <v>3</v>
      </c>
      <c r="EC205" t="s">
        <v>3</v>
      </c>
      <c r="EE205">
        <v>76282320</v>
      </c>
      <c r="EF205">
        <v>50</v>
      </c>
      <c r="EG205" t="s">
        <v>113</v>
      </c>
      <c r="EH205">
        <v>0</v>
      </c>
      <c r="EI205" t="s">
        <v>3</v>
      </c>
      <c r="EJ205">
        <v>4</v>
      </c>
      <c r="EK205">
        <v>86</v>
      </c>
      <c r="EL205" t="s">
        <v>114</v>
      </c>
      <c r="EM205" t="s">
        <v>115</v>
      </c>
      <c r="EO205" t="s">
        <v>3</v>
      </c>
      <c r="EQ205">
        <v>131072</v>
      </c>
      <c r="ER205">
        <v>17.71</v>
      </c>
      <c r="ES205">
        <v>0</v>
      </c>
      <c r="ET205">
        <v>0</v>
      </c>
      <c r="EU205">
        <v>0</v>
      </c>
      <c r="EV205">
        <v>17.71</v>
      </c>
      <c r="EW205">
        <v>1.44</v>
      </c>
      <c r="EX205">
        <v>0</v>
      </c>
      <c r="EY205">
        <v>0</v>
      </c>
      <c r="FQ205">
        <v>0</v>
      </c>
      <c r="FR205">
        <v>0</v>
      </c>
      <c r="FS205">
        <v>0</v>
      </c>
      <c r="FX205">
        <v>74</v>
      </c>
      <c r="FY205">
        <v>36</v>
      </c>
      <c r="GA205" t="s">
        <v>3</v>
      </c>
      <c r="GD205">
        <v>1</v>
      </c>
      <c r="GF205">
        <v>-897430996</v>
      </c>
      <c r="GG205">
        <v>2</v>
      </c>
      <c r="GH205">
        <v>0</v>
      </c>
      <c r="GI205">
        <v>2</v>
      </c>
      <c r="GJ205">
        <v>0</v>
      </c>
      <c r="GK205">
        <v>0</v>
      </c>
      <c r="GL205">
        <f t="shared" si="203"/>
        <v>0</v>
      </c>
      <c r="GM205">
        <f t="shared" si="204"/>
        <v>2148.15</v>
      </c>
      <c r="GN205">
        <f t="shared" si="205"/>
        <v>0</v>
      </c>
      <c r="GO205">
        <f t="shared" si="206"/>
        <v>0</v>
      </c>
      <c r="GP205">
        <f t="shared" si="207"/>
        <v>2148.15</v>
      </c>
      <c r="GR205">
        <v>0</v>
      </c>
      <c r="GS205">
        <v>7</v>
      </c>
      <c r="GT205">
        <v>0</v>
      </c>
      <c r="GU205" t="s">
        <v>3</v>
      </c>
      <c r="GV205">
        <f t="shared" si="208"/>
        <v>0</v>
      </c>
      <c r="GW205">
        <v>1</v>
      </c>
      <c r="GX205">
        <f t="shared" si="209"/>
        <v>0</v>
      </c>
      <c r="HA205">
        <v>0</v>
      </c>
      <c r="HB205">
        <v>0</v>
      </c>
      <c r="HC205">
        <f t="shared" si="210"/>
        <v>0</v>
      </c>
      <c r="HE205" t="s">
        <v>3</v>
      </c>
      <c r="HF205" t="s">
        <v>3</v>
      </c>
      <c r="HM205" t="s">
        <v>3</v>
      </c>
      <c r="HN205" t="s">
        <v>3</v>
      </c>
      <c r="HO205" t="s">
        <v>3</v>
      </c>
      <c r="HP205" t="s">
        <v>3</v>
      </c>
      <c r="HQ205" t="s">
        <v>3</v>
      </c>
      <c r="HS205">
        <v>0</v>
      </c>
      <c r="IK205">
        <v>0</v>
      </c>
    </row>
    <row r="206" spans="1:245">
      <c r="A206">
        <v>17</v>
      </c>
      <c r="B206">
        <v>1</v>
      </c>
      <c r="E206" t="s">
        <v>412</v>
      </c>
      <c r="F206" t="s">
        <v>122</v>
      </c>
      <c r="G206" t="s">
        <v>123</v>
      </c>
      <c r="H206" t="s">
        <v>124</v>
      </c>
      <c r="I206">
        <v>5</v>
      </c>
      <c r="J206">
        <v>0</v>
      </c>
      <c r="K206">
        <v>5</v>
      </c>
      <c r="O206">
        <f t="shared" si="186"/>
        <v>548.72</v>
      </c>
      <c r="P206">
        <f t="shared" si="187"/>
        <v>0</v>
      </c>
      <c r="Q206">
        <f>(ROUND((ROUND(((ET206)*AV206*I206),2)*BB206),2)+ROUND((ROUND(((AE206-(EU206))*AV206*I206),2)*BS206),2))</f>
        <v>0</v>
      </c>
      <c r="R206">
        <f>(ROUND((ROUND(((EU206)*AV206*I206),2)*BS206),2)+ROUND((ROUND(((AE206-(EU206))*AV206*I206),2)*BS206),2))</f>
        <v>0</v>
      </c>
      <c r="S206">
        <f t="shared" si="188"/>
        <v>548.72</v>
      </c>
      <c r="T206">
        <f t="shared" si="189"/>
        <v>0</v>
      </c>
      <c r="U206">
        <f t="shared" si="190"/>
        <v>0.6</v>
      </c>
      <c r="V206">
        <f t="shared" si="191"/>
        <v>0</v>
      </c>
      <c r="W206">
        <f t="shared" si="192"/>
        <v>0</v>
      </c>
      <c r="X206">
        <f>(ROUND((((S206+ROUND((ROUND(((EU206)*AV206*I206),2)*BS206),2))*AT206)/100),2)+ROUND(((ROUND((ROUND(((AE206-(EU206))*AV206*I206),2)*BS206),2)*AT206)/100),2))</f>
        <v>406.05</v>
      </c>
      <c r="Y206">
        <f>(ROUND((((S206+ROUND((ROUND(((EU206)*AV206*I206),2)*BS206),2))*AU206)/100),2)+ROUND(((ROUND((ROUND(((AE206-(EU206))*AV206*I206),2)*BS206),2)*AU206)/100),2))</f>
        <v>197.54</v>
      </c>
      <c r="AA206">
        <v>76282491</v>
      </c>
      <c r="AB206">
        <f t="shared" si="193"/>
        <v>1.9</v>
      </c>
      <c r="AC206">
        <f>ROUND((ES206),6)</f>
        <v>0</v>
      </c>
      <c r="AD206">
        <f>ROUND((((ET206)-(EU206))+AE206),6)</f>
        <v>0</v>
      </c>
      <c r="AE206">
        <f t="shared" si="213"/>
        <v>0</v>
      </c>
      <c r="AF206">
        <f t="shared" si="213"/>
        <v>1.9</v>
      </c>
      <c r="AG206">
        <f t="shared" si="194"/>
        <v>0</v>
      </c>
      <c r="AH206">
        <f t="shared" si="214"/>
        <v>0.12</v>
      </c>
      <c r="AI206">
        <f t="shared" si="214"/>
        <v>0</v>
      </c>
      <c r="AJ206">
        <f t="shared" si="195"/>
        <v>0</v>
      </c>
      <c r="AK206">
        <v>1.9</v>
      </c>
      <c r="AL206">
        <v>0</v>
      </c>
      <c r="AM206">
        <v>0</v>
      </c>
      <c r="AN206">
        <v>0</v>
      </c>
      <c r="AO206">
        <v>1.9</v>
      </c>
      <c r="AP206">
        <v>0</v>
      </c>
      <c r="AQ206">
        <v>0.12</v>
      </c>
      <c r="AR206">
        <v>0</v>
      </c>
      <c r="AS206">
        <v>0</v>
      </c>
      <c r="AT206">
        <v>74</v>
      </c>
      <c r="AU206">
        <v>36</v>
      </c>
      <c r="AV206">
        <v>1</v>
      </c>
      <c r="AW206">
        <v>1</v>
      </c>
      <c r="AZ206">
        <v>1</v>
      </c>
      <c r="BA206">
        <v>57.76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4</v>
      </c>
      <c r="BJ206" t="s">
        <v>125</v>
      </c>
      <c r="BM206">
        <v>86</v>
      </c>
      <c r="BN206">
        <v>0</v>
      </c>
      <c r="BO206" t="s">
        <v>3</v>
      </c>
      <c r="BP206">
        <v>0</v>
      </c>
      <c r="BQ206">
        <v>50</v>
      </c>
      <c r="BR206">
        <v>0</v>
      </c>
      <c r="BS206">
        <v>57.76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74</v>
      </c>
      <c r="CA206">
        <v>36</v>
      </c>
      <c r="CB206" t="s">
        <v>3</v>
      </c>
      <c r="CE206">
        <v>1566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si="196"/>
        <v>548.72</v>
      </c>
      <c r="CQ206">
        <f t="shared" si="197"/>
        <v>0</v>
      </c>
      <c r="CR206">
        <f>(ROUND((ROUND(((ET206)*AV206*1),2)*BB206),2)+ROUND((ROUND(((AE206-(EU206))*AV206*1),2)*BS206),2))</f>
        <v>0</v>
      </c>
      <c r="CS206">
        <f>(ROUND((ROUND(((EU206)*AV206*1),2)*BS206),2)+ROUND((ROUND(((AE206-(EU206))*AV206*1),2)*BS206),2))</f>
        <v>0</v>
      </c>
      <c r="CT206">
        <f t="shared" si="198"/>
        <v>109.74</v>
      </c>
      <c r="CU206">
        <f t="shared" si="199"/>
        <v>0</v>
      </c>
      <c r="CV206">
        <f t="shared" si="200"/>
        <v>0.12</v>
      </c>
      <c r="CW206">
        <f t="shared" si="201"/>
        <v>0</v>
      </c>
      <c r="CX206">
        <f t="shared" si="202"/>
        <v>0</v>
      </c>
      <c r="CY206">
        <f>(ROUND((((S206+ROUND((ROUND(((EU206)*AV206*1),2)*BS206),2))*AT206)/100),2)+ROUND(((ROUND((ROUND(((AE206-(EU206))*AV206*1),2)*BS206),2)*AT206)/100),2))</f>
        <v>406.05</v>
      </c>
      <c r="CZ206">
        <f>(ROUND((((S206+ROUND((ROUND(((EU206)*AV206*1),2)*BS206),2))*AU206)/100),2)+ROUND(((ROUND((ROUND(((AE206-(EU206))*AV206*1),2)*BS206),2)*AU206)/100),2))</f>
        <v>197.54</v>
      </c>
      <c r="DC206" t="s">
        <v>3</v>
      </c>
      <c r="DD206" t="s">
        <v>3</v>
      </c>
      <c r="DE206" t="s">
        <v>3</v>
      </c>
      <c r="DF206" t="s">
        <v>3</v>
      </c>
      <c r="DG206" t="s">
        <v>3</v>
      </c>
      <c r="DH206" t="s">
        <v>3</v>
      </c>
      <c r="DI206" t="s">
        <v>3</v>
      </c>
      <c r="DJ206" t="s">
        <v>3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1013</v>
      </c>
      <c r="DV206" t="s">
        <v>124</v>
      </c>
      <c r="DW206" t="s">
        <v>124</v>
      </c>
      <c r="DX206">
        <v>1</v>
      </c>
      <c r="DZ206" t="s">
        <v>3</v>
      </c>
      <c r="EA206" t="s">
        <v>3</v>
      </c>
      <c r="EB206" t="s">
        <v>3</v>
      </c>
      <c r="EC206" t="s">
        <v>3</v>
      </c>
      <c r="EE206">
        <v>76282320</v>
      </c>
      <c r="EF206">
        <v>50</v>
      </c>
      <c r="EG206" t="s">
        <v>113</v>
      </c>
      <c r="EH206">
        <v>0</v>
      </c>
      <c r="EI206" t="s">
        <v>3</v>
      </c>
      <c r="EJ206">
        <v>4</v>
      </c>
      <c r="EK206">
        <v>86</v>
      </c>
      <c r="EL206" t="s">
        <v>114</v>
      </c>
      <c r="EM206" t="s">
        <v>115</v>
      </c>
      <c r="EO206" t="s">
        <v>3</v>
      </c>
      <c r="EQ206">
        <v>131072</v>
      </c>
      <c r="ER206">
        <v>1.9</v>
      </c>
      <c r="ES206">
        <v>0</v>
      </c>
      <c r="ET206">
        <v>0</v>
      </c>
      <c r="EU206">
        <v>0</v>
      </c>
      <c r="EV206">
        <v>1.9</v>
      </c>
      <c r="EW206">
        <v>0.12</v>
      </c>
      <c r="EX206">
        <v>0</v>
      </c>
      <c r="EY206">
        <v>0</v>
      </c>
      <c r="FQ206">
        <v>0</v>
      </c>
      <c r="FR206">
        <v>0</v>
      </c>
      <c r="FS206">
        <v>0</v>
      </c>
      <c r="FX206">
        <v>74</v>
      </c>
      <c r="FY206">
        <v>36</v>
      </c>
      <c r="GA206" t="s">
        <v>3</v>
      </c>
      <c r="GD206">
        <v>1</v>
      </c>
      <c r="GF206">
        <v>1299732268</v>
      </c>
      <c r="GG206">
        <v>2</v>
      </c>
      <c r="GH206">
        <v>0</v>
      </c>
      <c r="GI206">
        <v>2</v>
      </c>
      <c r="GJ206">
        <v>0</v>
      </c>
      <c r="GK206">
        <v>0</v>
      </c>
      <c r="GL206">
        <f t="shared" si="203"/>
        <v>0</v>
      </c>
      <c r="GM206">
        <f t="shared" si="204"/>
        <v>1152.31</v>
      </c>
      <c r="GN206">
        <f t="shared" si="205"/>
        <v>0</v>
      </c>
      <c r="GO206">
        <f t="shared" si="206"/>
        <v>0</v>
      </c>
      <c r="GP206">
        <f t="shared" si="207"/>
        <v>1152.31</v>
      </c>
      <c r="GR206">
        <v>0</v>
      </c>
      <c r="GS206">
        <v>7</v>
      </c>
      <c r="GT206">
        <v>0</v>
      </c>
      <c r="GU206" t="s">
        <v>3</v>
      </c>
      <c r="GV206">
        <f t="shared" si="208"/>
        <v>0</v>
      </c>
      <c r="GW206">
        <v>1</v>
      </c>
      <c r="GX206">
        <f t="shared" si="209"/>
        <v>0</v>
      </c>
      <c r="HA206">
        <v>0</v>
      </c>
      <c r="HB206">
        <v>0</v>
      </c>
      <c r="HC206">
        <f t="shared" si="210"/>
        <v>0</v>
      </c>
      <c r="HE206" t="s">
        <v>3</v>
      </c>
      <c r="HF206" t="s">
        <v>3</v>
      </c>
      <c r="HM206" t="s">
        <v>3</v>
      </c>
      <c r="HN206" t="s">
        <v>3</v>
      </c>
      <c r="HO206" t="s">
        <v>3</v>
      </c>
      <c r="HP206" t="s">
        <v>3</v>
      </c>
      <c r="HQ206" t="s">
        <v>3</v>
      </c>
      <c r="HS206">
        <v>0</v>
      </c>
      <c r="IK206">
        <v>0</v>
      </c>
    </row>
    <row r="207" spans="1:245">
      <c r="A207">
        <v>17</v>
      </c>
      <c r="B207">
        <v>1</v>
      </c>
      <c r="E207" t="s">
        <v>413</v>
      </c>
      <c r="F207" t="s">
        <v>117</v>
      </c>
      <c r="G207" t="s">
        <v>118</v>
      </c>
      <c r="H207" t="s">
        <v>119</v>
      </c>
      <c r="I207">
        <v>3</v>
      </c>
      <c r="J207">
        <v>0</v>
      </c>
      <c r="K207">
        <v>3</v>
      </c>
      <c r="O207">
        <f t="shared" si="186"/>
        <v>790.16</v>
      </c>
      <c r="P207">
        <f t="shared" si="187"/>
        <v>0</v>
      </c>
      <c r="Q207">
        <f>(ROUND((ROUND(((ET207)*AV207*I207),2)*BB207),2)+ROUND((ROUND(((AE207-(EU207))*AV207*I207),2)*BS207),2))</f>
        <v>0</v>
      </c>
      <c r="R207">
        <f>(ROUND((ROUND(((EU207)*AV207*I207),2)*BS207),2)+ROUND((ROUND(((AE207-(EU207))*AV207*I207),2)*BS207),2))</f>
        <v>0</v>
      </c>
      <c r="S207">
        <f t="shared" si="188"/>
        <v>790.16</v>
      </c>
      <c r="T207">
        <f t="shared" si="189"/>
        <v>0</v>
      </c>
      <c r="U207">
        <f t="shared" si="190"/>
        <v>0.86999999999999988</v>
      </c>
      <c r="V207">
        <f t="shared" si="191"/>
        <v>0</v>
      </c>
      <c r="W207">
        <f t="shared" si="192"/>
        <v>0</v>
      </c>
      <c r="X207">
        <f>(ROUND((((S207+ROUND((ROUND(((EU207)*AV207*I207),2)*BS207),2))*AT207)/100),2)+ROUND(((ROUND((ROUND(((AE207-(EU207))*AV207*I207),2)*BS207),2)*AT207)/100),2))</f>
        <v>584.72</v>
      </c>
      <c r="Y207">
        <f>(ROUND((((S207+ROUND((ROUND(((EU207)*AV207*I207),2)*BS207),2))*AU207)/100),2)+ROUND(((ROUND((ROUND(((AE207-(EU207))*AV207*I207),2)*BS207),2)*AU207)/100),2))</f>
        <v>284.45999999999998</v>
      </c>
      <c r="AA207">
        <v>76282491</v>
      </c>
      <c r="AB207">
        <f t="shared" si="193"/>
        <v>4.5599999999999996</v>
      </c>
      <c r="AC207">
        <f>ROUND((ES207),6)</f>
        <v>0</v>
      </c>
      <c r="AD207">
        <f>ROUND((((ET207)-(EU207))+AE207),6)</f>
        <v>0</v>
      </c>
      <c r="AE207">
        <f t="shared" si="213"/>
        <v>0</v>
      </c>
      <c r="AF207">
        <f t="shared" si="213"/>
        <v>4.5599999999999996</v>
      </c>
      <c r="AG207">
        <f t="shared" si="194"/>
        <v>0</v>
      </c>
      <c r="AH207">
        <f t="shared" si="214"/>
        <v>0.28999999999999998</v>
      </c>
      <c r="AI207">
        <f t="shared" si="214"/>
        <v>0</v>
      </c>
      <c r="AJ207">
        <f t="shared" si="195"/>
        <v>0</v>
      </c>
      <c r="AK207">
        <v>4.5599999999999996</v>
      </c>
      <c r="AL207">
        <v>0</v>
      </c>
      <c r="AM207">
        <v>0</v>
      </c>
      <c r="AN207">
        <v>0</v>
      </c>
      <c r="AO207">
        <v>4.5599999999999996</v>
      </c>
      <c r="AP207">
        <v>0</v>
      </c>
      <c r="AQ207">
        <v>0.28999999999999998</v>
      </c>
      <c r="AR207">
        <v>0</v>
      </c>
      <c r="AS207">
        <v>0</v>
      </c>
      <c r="AT207">
        <v>74</v>
      </c>
      <c r="AU207">
        <v>36</v>
      </c>
      <c r="AV207">
        <v>1</v>
      </c>
      <c r="AW207">
        <v>1</v>
      </c>
      <c r="AZ207">
        <v>1</v>
      </c>
      <c r="BA207">
        <v>57.76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0</v>
      </c>
      <c r="BI207">
        <v>4</v>
      </c>
      <c r="BJ207" t="s">
        <v>120</v>
      </c>
      <c r="BM207">
        <v>86</v>
      </c>
      <c r="BN207">
        <v>0</v>
      </c>
      <c r="BO207" t="s">
        <v>3</v>
      </c>
      <c r="BP207">
        <v>0</v>
      </c>
      <c r="BQ207">
        <v>50</v>
      </c>
      <c r="BR207">
        <v>0</v>
      </c>
      <c r="BS207">
        <v>57.76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74</v>
      </c>
      <c r="CA207">
        <v>36</v>
      </c>
      <c r="CB207" t="s">
        <v>3</v>
      </c>
      <c r="CE207">
        <v>1566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96"/>
        <v>790.16</v>
      </c>
      <c r="CQ207">
        <f t="shared" si="197"/>
        <v>0</v>
      </c>
      <c r="CR207">
        <f>(ROUND((ROUND(((ET207)*AV207*1),2)*BB207),2)+ROUND((ROUND(((AE207-(EU207))*AV207*1),2)*BS207),2))</f>
        <v>0</v>
      </c>
      <c r="CS207">
        <f>(ROUND((ROUND(((EU207)*AV207*1),2)*BS207),2)+ROUND((ROUND(((AE207-(EU207))*AV207*1),2)*BS207),2))</f>
        <v>0</v>
      </c>
      <c r="CT207">
        <f t="shared" si="198"/>
        <v>263.39</v>
      </c>
      <c r="CU207">
        <f t="shared" si="199"/>
        <v>0</v>
      </c>
      <c r="CV207">
        <f t="shared" si="200"/>
        <v>0.28999999999999998</v>
      </c>
      <c r="CW207">
        <f t="shared" si="201"/>
        <v>0</v>
      </c>
      <c r="CX207">
        <f t="shared" si="202"/>
        <v>0</v>
      </c>
      <c r="CY207">
        <f>(ROUND((((S207+ROUND((ROUND(((EU207)*AV207*1),2)*BS207),2))*AT207)/100),2)+ROUND(((ROUND((ROUND(((AE207-(EU207))*AV207*1),2)*BS207),2)*AT207)/100),2))</f>
        <v>584.72</v>
      </c>
      <c r="CZ207">
        <f>(ROUND((((S207+ROUND((ROUND(((EU207)*AV207*1),2)*BS207),2))*AU207)/100),2)+ROUND(((ROUND((ROUND(((AE207-(EU207))*AV207*1),2)*BS207),2)*AU207)/100),2))</f>
        <v>284.45999999999998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1013</v>
      </c>
      <c r="DV207" t="s">
        <v>119</v>
      </c>
      <c r="DW207" t="s">
        <v>119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76282320</v>
      </c>
      <c r="EF207">
        <v>50</v>
      </c>
      <c r="EG207" t="s">
        <v>113</v>
      </c>
      <c r="EH207">
        <v>0</v>
      </c>
      <c r="EI207" t="s">
        <v>3</v>
      </c>
      <c r="EJ207">
        <v>4</v>
      </c>
      <c r="EK207">
        <v>86</v>
      </c>
      <c r="EL207" t="s">
        <v>114</v>
      </c>
      <c r="EM207" t="s">
        <v>115</v>
      </c>
      <c r="EO207" t="s">
        <v>3</v>
      </c>
      <c r="EQ207">
        <v>131072</v>
      </c>
      <c r="ER207">
        <v>4.5599999999999996</v>
      </c>
      <c r="ES207">
        <v>0</v>
      </c>
      <c r="ET207">
        <v>0</v>
      </c>
      <c r="EU207">
        <v>0</v>
      </c>
      <c r="EV207">
        <v>4.5599999999999996</v>
      </c>
      <c r="EW207">
        <v>0.28999999999999998</v>
      </c>
      <c r="EX207">
        <v>0</v>
      </c>
      <c r="EY207">
        <v>0</v>
      </c>
      <c r="FQ207">
        <v>0</v>
      </c>
      <c r="FR207">
        <v>0</v>
      </c>
      <c r="FS207">
        <v>0</v>
      </c>
      <c r="FX207">
        <v>74</v>
      </c>
      <c r="FY207">
        <v>36</v>
      </c>
      <c r="GA207" t="s">
        <v>3</v>
      </c>
      <c r="GD207">
        <v>1</v>
      </c>
      <c r="GF207">
        <v>-288687127</v>
      </c>
      <c r="GG207">
        <v>2</v>
      </c>
      <c r="GH207">
        <v>0</v>
      </c>
      <c r="GI207">
        <v>2</v>
      </c>
      <c r="GJ207">
        <v>0</v>
      </c>
      <c r="GK207">
        <v>0</v>
      </c>
      <c r="GL207">
        <f t="shared" si="203"/>
        <v>0</v>
      </c>
      <c r="GM207">
        <f t="shared" si="204"/>
        <v>1659.34</v>
      </c>
      <c r="GN207">
        <f t="shared" si="205"/>
        <v>0</v>
      </c>
      <c r="GO207">
        <f t="shared" si="206"/>
        <v>0</v>
      </c>
      <c r="GP207">
        <f t="shared" si="207"/>
        <v>1659.34</v>
      </c>
      <c r="GR207">
        <v>0</v>
      </c>
      <c r="GS207">
        <v>7</v>
      </c>
      <c r="GT207">
        <v>0</v>
      </c>
      <c r="GU207" t="s">
        <v>3</v>
      </c>
      <c r="GV207">
        <f t="shared" si="208"/>
        <v>0</v>
      </c>
      <c r="GW207">
        <v>1</v>
      </c>
      <c r="GX207">
        <f t="shared" si="209"/>
        <v>0</v>
      </c>
      <c r="HA207">
        <v>0</v>
      </c>
      <c r="HB207">
        <v>0</v>
      </c>
      <c r="HC207">
        <f t="shared" si="210"/>
        <v>0</v>
      </c>
      <c r="HE207" t="s">
        <v>3</v>
      </c>
      <c r="HF207" t="s">
        <v>3</v>
      </c>
      <c r="HM207" t="s">
        <v>3</v>
      </c>
      <c r="HN207" t="s">
        <v>3</v>
      </c>
      <c r="HO207" t="s">
        <v>3</v>
      </c>
      <c r="HP207" t="s">
        <v>3</v>
      </c>
      <c r="HQ207" t="s">
        <v>3</v>
      </c>
      <c r="HS207">
        <v>0</v>
      </c>
      <c r="IK207">
        <v>0</v>
      </c>
    </row>
    <row r="208" spans="1:245">
      <c r="A208">
        <v>17</v>
      </c>
      <c r="B208">
        <v>1</v>
      </c>
      <c r="E208" t="s">
        <v>414</v>
      </c>
      <c r="F208" t="s">
        <v>127</v>
      </c>
      <c r="G208" t="s">
        <v>128</v>
      </c>
      <c r="H208" t="s">
        <v>129</v>
      </c>
      <c r="I208">
        <v>1</v>
      </c>
      <c r="J208">
        <v>0</v>
      </c>
      <c r="K208">
        <v>1</v>
      </c>
      <c r="O208">
        <f t="shared" si="186"/>
        <v>10238.540000000001</v>
      </c>
      <c r="P208">
        <f t="shared" si="187"/>
        <v>0</v>
      </c>
      <c r="Q208">
        <f>(ROUND((ROUND(((ET208)*AV208*I208),2)*BB208),2)+ROUND((ROUND(((AE208-(EU208))*AV208*I208),2)*BS208),2))</f>
        <v>0</v>
      </c>
      <c r="R208">
        <f>(ROUND((ROUND(((EU208)*AV208*I208),2)*BS208),2)+ROUND((ROUND(((AE208-(EU208))*AV208*I208),2)*BS208),2))</f>
        <v>0</v>
      </c>
      <c r="S208">
        <f t="shared" si="188"/>
        <v>10238.540000000001</v>
      </c>
      <c r="T208">
        <f t="shared" si="189"/>
        <v>0</v>
      </c>
      <c r="U208">
        <f t="shared" si="190"/>
        <v>11.2</v>
      </c>
      <c r="V208">
        <f t="shared" si="191"/>
        <v>0</v>
      </c>
      <c r="W208">
        <f t="shared" si="192"/>
        <v>0</v>
      </c>
      <c r="X208">
        <f>(ROUND((((S208+ROUND((ROUND(((EU208)*AV208*I208),2)*BS208),2))*AT208)/100),2)+ROUND(((ROUND((ROUND(((AE208-(EU208))*AV208*I208),2)*BS208),2)*AT208)/100),2))</f>
        <v>7576.52</v>
      </c>
      <c r="Y208">
        <f>(ROUND((((S208+ROUND((ROUND(((EU208)*AV208*I208),2)*BS208),2))*AU208)/100),2)+ROUND(((ROUND((ROUND(((AE208-(EU208))*AV208*I208),2)*BS208),2)*AU208)/100),2))</f>
        <v>3685.87</v>
      </c>
      <c r="AA208">
        <v>76282491</v>
      </c>
      <c r="AB208">
        <f t="shared" si="193"/>
        <v>177.26</v>
      </c>
      <c r="AC208">
        <f>ROUND((ES208),6)</f>
        <v>0</v>
      </c>
      <c r="AD208">
        <f>ROUND((((ET208)-(EU208))+AE208),6)</f>
        <v>0</v>
      </c>
      <c r="AE208">
        <f t="shared" si="213"/>
        <v>0</v>
      </c>
      <c r="AF208">
        <f t="shared" si="213"/>
        <v>177.26</v>
      </c>
      <c r="AG208">
        <f t="shared" si="194"/>
        <v>0</v>
      </c>
      <c r="AH208">
        <f t="shared" si="214"/>
        <v>11.2</v>
      </c>
      <c r="AI208">
        <f t="shared" si="214"/>
        <v>0</v>
      </c>
      <c r="AJ208">
        <f t="shared" si="195"/>
        <v>0</v>
      </c>
      <c r="AK208">
        <v>177.26</v>
      </c>
      <c r="AL208">
        <v>0</v>
      </c>
      <c r="AM208">
        <v>0</v>
      </c>
      <c r="AN208">
        <v>0</v>
      </c>
      <c r="AO208">
        <v>177.26</v>
      </c>
      <c r="AP208">
        <v>0</v>
      </c>
      <c r="AQ208">
        <v>11.2</v>
      </c>
      <c r="AR208">
        <v>0</v>
      </c>
      <c r="AS208">
        <v>0</v>
      </c>
      <c r="AT208">
        <v>74</v>
      </c>
      <c r="AU208">
        <v>36</v>
      </c>
      <c r="AV208">
        <v>1</v>
      </c>
      <c r="AW208">
        <v>1</v>
      </c>
      <c r="AZ208">
        <v>1</v>
      </c>
      <c r="BA208">
        <v>57.76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4</v>
      </c>
      <c r="BJ208" t="s">
        <v>130</v>
      </c>
      <c r="BM208">
        <v>86</v>
      </c>
      <c r="BN208">
        <v>0</v>
      </c>
      <c r="BO208" t="s">
        <v>3</v>
      </c>
      <c r="BP208">
        <v>0</v>
      </c>
      <c r="BQ208">
        <v>50</v>
      </c>
      <c r="BR208">
        <v>0</v>
      </c>
      <c r="BS208">
        <v>57.76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74</v>
      </c>
      <c r="CA208">
        <v>36</v>
      </c>
      <c r="CB208" t="s">
        <v>3</v>
      </c>
      <c r="CE208">
        <v>1566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96"/>
        <v>10238.540000000001</v>
      </c>
      <c r="CQ208">
        <f t="shared" si="197"/>
        <v>0</v>
      </c>
      <c r="CR208">
        <f>(ROUND((ROUND(((ET208)*AV208*1),2)*BB208),2)+ROUND((ROUND(((AE208-(EU208))*AV208*1),2)*BS208),2))</f>
        <v>0</v>
      </c>
      <c r="CS208">
        <f>(ROUND((ROUND(((EU208)*AV208*1),2)*BS208),2)+ROUND((ROUND(((AE208-(EU208))*AV208*1),2)*BS208),2))</f>
        <v>0</v>
      </c>
      <c r="CT208">
        <f t="shared" si="198"/>
        <v>10238.540000000001</v>
      </c>
      <c r="CU208">
        <f t="shared" si="199"/>
        <v>0</v>
      </c>
      <c r="CV208">
        <f t="shared" si="200"/>
        <v>11.2</v>
      </c>
      <c r="CW208">
        <f t="shared" si="201"/>
        <v>0</v>
      </c>
      <c r="CX208">
        <f t="shared" si="202"/>
        <v>0</v>
      </c>
      <c r="CY208">
        <f>(ROUND((((S208+ROUND((ROUND(((EU208)*AV208*1),2)*BS208),2))*AT208)/100),2)+ROUND(((ROUND((ROUND(((AE208-(EU208))*AV208*1),2)*BS208),2)*AT208)/100),2))</f>
        <v>7576.52</v>
      </c>
      <c r="CZ208">
        <f>(ROUND((((S208+ROUND((ROUND(((EU208)*AV208*1),2)*BS208),2))*AU208)/100),2)+ROUND(((ROUND((ROUND(((AE208-(EU208))*AV208*1),2)*BS208),2)*AU208)/100),2))</f>
        <v>3685.87</v>
      </c>
      <c r="DC208" t="s">
        <v>3</v>
      </c>
      <c r="DD208" t="s">
        <v>3</v>
      </c>
      <c r="DE208" t="s">
        <v>3</v>
      </c>
      <c r="DF208" t="s">
        <v>3</v>
      </c>
      <c r="DG208" t="s">
        <v>3</v>
      </c>
      <c r="DH208" t="s">
        <v>3</v>
      </c>
      <c r="DI208" t="s">
        <v>3</v>
      </c>
      <c r="DJ208" t="s">
        <v>3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1013</v>
      </c>
      <c r="DV208" t="s">
        <v>129</v>
      </c>
      <c r="DW208" t="s">
        <v>129</v>
      </c>
      <c r="DX208">
        <v>1</v>
      </c>
      <c r="DZ208" t="s">
        <v>3</v>
      </c>
      <c r="EA208" t="s">
        <v>3</v>
      </c>
      <c r="EB208" t="s">
        <v>3</v>
      </c>
      <c r="EC208" t="s">
        <v>3</v>
      </c>
      <c r="EE208">
        <v>76282320</v>
      </c>
      <c r="EF208">
        <v>50</v>
      </c>
      <c r="EG208" t="s">
        <v>113</v>
      </c>
      <c r="EH208">
        <v>0</v>
      </c>
      <c r="EI208" t="s">
        <v>3</v>
      </c>
      <c r="EJ208">
        <v>4</v>
      </c>
      <c r="EK208">
        <v>86</v>
      </c>
      <c r="EL208" t="s">
        <v>114</v>
      </c>
      <c r="EM208" t="s">
        <v>115</v>
      </c>
      <c r="EO208" t="s">
        <v>3</v>
      </c>
      <c r="EQ208">
        <v>131072</v>
      </c>
      <c r="ER208">
        <v>177.26</v>
      </c>
      <c r="ES208">
        <v>0</v>
      </c>
      <c r="ET208">
        <v>0</v>
      </c>
      <c r="EU208">
        <v>0</v>
      </c>
      <c r="EV208">
        <v>177.26</v>
      </c>
      <c r="EW208">
        <v>11.2</v>
      </c>
      <c r="EX208">
        <v>0</v>
      </c>
      <c r="EY208">
        <v>0</v>
      </c>
      <c r="FQ208">
        <v>0</v>
      </c>
      <c r="FR208">
        <v>0</v>
      </c>
      <c r="FS208">
        <v>0</v>
      </c>
      <c r="FX208">
        <v>74</v>
      </c>
      <c r="FY208">
        <v>36</v>
      </c>
      <c r="GA208" t="s">
        <v>3</v>
      </c>
      <c r="GD208">
        <v>1</v>
      </c>
      <c r="GF208">
        <v>761731201</v>
      </c>
      <c r="GG208">
        <v>2</v>
      </c>
      <c r="GH208">
        <v>0</v>
      </c>
      <c r="GI208">
        <v>2</v>
      </c>
      <c r="GJ208">
        <v>0</v>
      </c>
      <c r="GK208">
        <v>0</v>
      </c>
      <c r="GL208">
        <f t="shared" si="203"/>
        <v>0</v>
      </c>
      <c r="GM208">
        <f t="shared" si="204"/>
        <v>21500.93</v>
      </c>
      <c r="GN208">
        <f t="shared" si="205"/>
        <v>0</v>
      </c>
      <c r="GO208">
        <f t="shared" si="206"/>
        <v>0</v>
      </c>
      <c r="GP208">
        <f t="shared" si="207"/>
        <v>21500.93</v>
      </c>
      <c r="GR208">
        <v>0</v>
      </c>
      <c r="GS208">
        <v>7</v>
      </c>
      <c r="GT208">
        <v>0</v>
      </c>
      <c r="GU208" t="s">
        <v>3</v>
      </c>
      <c r="GV208">
        <f t="shared" si="208"/>
        <v>0</v>
      </c>
      <c r="GW208">
        <v>1</v>
      </c>
      <c r="GX208">
        <f t="shared" si="209"/>
        <v>0</v>
      </c>
      <c r="HA208">
        <v>0</v>
      </c>
      <c r="HB208">
        <v>0</v>
      </c>
      <c r="HC208">
        <f t="shared" si="210"/>
        <v>0</v>
      </c>
      <c r="HE208" t="s">
        <v>3</v>
      </c>
      <c r="HF208" t="s">
        <v>3</v>
      </c>
      <c r="HM208" t="s">
        <v>3</v>
      </c>
      <c r="HN208" t="s">
        <v>3</v>
      </c>
      <c r="HO208" t="s">
        <v>3</v>
      </c>
      <c r="HP208" t="s">
        <v>3</v>
      </c>
      <c r="HQ208" t="s">
        <v>3</v>
      </c>
      <c r="HS208">
        <v>0</v>
      </c>
      <c r="IK208">
        <v>0</v>
      </c>
    </row>
    <row r="210" spans="1:206">
      <c r="A210" s="2">
        <v>51</v>
      </c>
      <c r="B210" s="2">
        <f>B156</f>
        <v>1</v>
      </c>
      <c r="C210" s="2">
        <f>A156</f>
        <v>4</v>
      </c>
      <c r="D210" s="2">
        <f>ROW(A156)</f>
        <v>156</v>
      </c>
      <c r="E210" s="2"/>
      <c r="F210" s="2" t="str">
        <f>IF(F156&lt;&gt;"",F156,"")</f>
        <v>Новый раздел</v>
      </c>
      <c r="G210" s="2" t="str">
        <f>IF(G156&lt;&gt;"",G156,"")</f>
        <v>Освещение (коридор)</v>
      </c>
      <c r="H210" s="2">
        <v>0</v>
      </c>
      <c r="I210" s="2"/>
      <c r="J210" s="2"/>
      <c r="K210" s="2"/>
      <c r="L210" s="2"/>
      <c r="M210" s="2"/>
      <c r="N210" s="2"/>
      <c r="O210" s="2">
        <f t="shared" ref="O210:T210" si="215">ROUND(AB210,2)</f>
        <v>89573.69</v>
      </c>
      <c r="P210" s="2">
        <f t="shared" si="215"/>
        <v>51772.01</v>
      </c>
      <c r="Q210" s="2">
        <f t="shared" si="215"/>
        <v>654.51</v>
      </c>
      <c r="R210" s="2">
        <f t="shared" si="215"/>
        <v>429.17</v>
      </c>
      <c r="S210" s="2">
        <f t="shared" si="215"/>
        <v>37147.17</v>
      </c>
      <c r="T210" s="2">
        <f t="shared" si="215"/>
        <v>0</v>
      </c>
      <c r="U210" s="2">
        <f>AH210</f>
        <v>47.56897579999999</v>
      </c>
      <c r="V210" s="2">
        <f>AI210</f>
        <v>0</v>
      </c>
      <c r="W210" s="2">
        <f>ROUND(AJ210,2)</f>
        <v>0</v>
      </c>
      <c r="X210" s="2">
        <f>ROUND(AK210,2)</f>
        <v>33391.53</v>
      </c>
      <c r="Y210" s="2">
        <f>ROUND(AL210,2)</f>
        <v>17194.53</v>
      </c>
      <c r="Z210" s="2"/>
      <c r="AA210" s="2"/>
      <c r="AB210" s="2">
        <f>ROUND(SUMIF(AA160:AA208,"=76282491",O160:O208),2)</f>
        <v>89573.69</v>
      </c>
      <c r="AC210" s="2">
        <f>ROUND(SUMIF(AA160:AA208,"=76282491",P160:P208),2)</f>
        <v>51772.01</v>
      </c>
      <c r="AD210" s="2">
        <f>ROUND(SUMIF(AA160:AA208,"=76282491",Q160:Q208),2)</f>
        <v>654.51</v>
      </c>
      <c r="AE210" s="2">
        <f>ROUND(SUMIF(AA160:AA208,"=76282491",R160:R208),2)</f>
        <v>429.17</v>
      </c>
      <c r="AF210" s="2">
        <f>ROUND(SUMIF(AA160:AA208,"=76282491",S160:S208),2)</f>
        <v>37147.17</v>
      </c>
      <c r="AG210" s="2">
        <f>ROUND(SUMIF(AA160:AA208,"=76282491",T160:T208),2)</f>
        <v>0</v>
      </c>
      <c r="AH210" s="2">
        <f>SUMIF(AA160:AA208,"=76282491",U160:U208)</f>
        <v>47.56897579999999</v>
      </c>
      <c r="AI210" s="2">
        <f>SUMIF(AA160:AA208,"=76282491",V160:V208)</f>
        <v>0</v>
      </c>
      <c r="AJ210" s="2">
        <f>ROUND(SUMIF(AA160:AA208,"=76282491",W160:W208),2)</f>
        <v>0</v>
      </c>
      <c r="AK210" s="2">
        <f>ROUND(SUMIF(AA160:AA208,"=76282491",X160:X208),2)</f>
        <v>33391.53</v>
      </c>
      <c r="AL210" s="2">
        <f>ROUND(SUMIF(AA160:AA208,"=76282491",Y160:Y208),2)</f>
        <v>17194.53</v>
      </c>
      <c r="AM210" s="2"/>
      <c r="AN210" s="2"/>
      <c r="AO210" s="2">
        <f t="shared" ref="AO210:BD210" si="216">ROUND(BX210,2)</f>
        <v>0</v>
      </c>
      <c r="AP210" s="2">
        <f t="shared" si="216"/>
        <v>0</v>
      </c>
      <c r="AQ210" s="2">
        <f t="shared" si="216"/>
        <v>0</v>
      </c>
      <c r="AR210" s="2">
        <f t="shared" si="216"/>
        <v>140159.75</v>
      </c>
      <c r="AS210" s="2">
        <f t="shared" si="216"/>
        <v>3058.7</v>
      </c>
      <c r="AT210" s="2">
        <f t="shared" si="216"/>
        <v>110640.32000000001</v>
      </c>
      <c r="AU210" s="2">
        <f t="shared" si="216"/>
        <v>26460.73</v>
      </c>
      <c r="AV210" s="2">
        <f t="shared" si="216"/>
        <v>51772.01</v>
      </c>
      <c r="AW210" s="2">
        <f t="shared" si="216"/>
        <v>51772.01</v>
      </c>
      <c r="AX210" s="2">
        <f t="shared" si="216"/>
        <v>0</v>
      </c>
      <c r="AY210" s="2">
        <f t="shared" si="216"/>
        <v>51772.01</v>
      </c>
      <c r="AZ210" s="2">
        <f t="shared" si="216"/>
        <v>0</v>
      </c>
      <c r="BA210" s="2">
        <f t="shared" si="216"/>
        <v>0</v>
      </c>
      <c r="BB210" s="2">
        <f t="shared" si="216"/>
        <v>0</v>
      </c>
      <c r="BC210" s="2">
        <f t="shared" si="216"/>
        <v>0</v>
      </c>
      <c r="BD210" s="2">
        <f t="shared" si="216"/>
        <v>0</v>
      </c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>
        <f>ROUND(SUMIF(AA160:AA208,"=76282491",FQ160:FQ208),2)</f>
        <v>0</v>
      </c>
      <c r="BY210" s="2">
        <f>ROUND(SUMIF(AA160:AA208,"=76282491",FR160:FR208),2)</f>
        <v>0</v>
      </c>
      <c r="BZ210" s="2">
        <f>ROUND(SUMIF(AA160:AA208,"=76282491",GL160:GL208),2)</f>
        <v>0</v>
      </c>
      <c r="CA210" s="2">
        <f>ROUND(SUMIF(AA160:AA208,"=76282491",GM160:GM208),2)</f>
        <v>140159.75</v>
      </c>
      <c r="CB210" s="2">
        <f>ROUND(SUMIF(AA160:AA208,"=76282491",GN160:GN208),2)</f>
        <v>3058.7</v>
      </c>
      <c r="CC210" s="2">
        <f>ROUND(SUMIF(AA160:AA208,"=76282491",GO160:GO208),2)</f>
        <v>110640.32000000001</v>
      </c>
      <c r="CD210" s="2">
        <f>ROUND(SUMIF(AA160:AA208,"=76282491",GP160:GP208),2)</f>
        <v>26460.73</v>
      </c>
      <c r="CE210" s="2">
        <f>AC210-BX210</f>
        <v>51772.01</v>
      </c>
      <c r="CF210" s="2">
        <f>AC210-BY210</f>
        <v>51772.01</v>
      </c>
      <c r="CG210" s="2">
        <f>BX210-BZ210</f>
        <v>0</v>
      </c>
      <c r="CH210" s="2">
        <f>AC210-BX210-BY210+BZ210</f>
        <v>51772.01</v>
      </c>
      <c r="CI210" s="2">
        <f>BY210-BZ210</f>
        <v>0</v>
      </c>
      <c r="CJ210" s="2">
        <f>ROUND(SUMIF(AA160:AA208,"=76282491",GX160:GX208),2)</f>
        <v>0</v>
      </c>
      <c r="CK210" s="2">
        <f>ROUND(SUMIF(AA160:AA208,"=76282491",GY160:GY208),2)</f>
        <v>0</v>
      </c>
      <c r="CL210" s="2">
        <f>ROUND(SUMIF(AA160:AA208,"=76282491",GZ160:GZ208),2)</f>
        <v>0</v>
      </c>
      <c r="CM210" s="2">
        <f>ROUND(SUMIF(AA160:AA208,"=76282491",HD160:HD208),2)</f>
        <v>0</v>
      </c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>
        <v>0</v>
      </c>
    </row>
    <row r="212" spans="1:206">
      <c r="A212" s="4">
        <v>50</v>
      </c>
      <c r="B212" s="4">
        <v>0</v>
      </c>
      <c r="C212" s="4">
        <v>0</v>
      </c>
      <c r="D212" s="4">
        <v>1</v>
      </c>
      <c r="E212" s="4">
        <v>201</v>
      </c>
      <c r="F212" s="4">
        <f>ROUND(Source!O210,O212)</f>
        <v>89573.69</v>
      </c>
      <c r="G212" s="4" t="s">
        <v>131</v>
      </c>
      <c r="H212" s="4" t="s">
        <v>132</v>
      </c>
      <c r="I212" s="4"/>
      <c r="J212" s="4"/>
      <c r="K212" s="4">
        <v>201</v>
      </c>
      <c r="L212" s="4">
        <v>1</v>
      </c>
      <c r="M212" s="4">
        <v>3</v>
      </c>
      <c r="N212" s="4" t="s">
        <v>3</v>
      </c>
      <c r="O212" s="4">
        <v>2</v>
      </c>
      <c r="P212" s="4"/>
      <c r="Q212" s="4"/>
      <c r="R212" s="4"/>
      <c r="S212" s="4"/>
      <c r="T212" s="4"/>
      <c r="U212" s="4"/>
      <c r="V212" s="4"/>
      <c r="W212" s="4">
        <v>89573.69</v>
      </c>
      <c r="X212" s="4">
        <v>1</v>
      </c>
      <c r="Y212" s="4">
        <v>89573.69</v>
      </c>
      <c r="Z212" s="4"/>
      <c r="AA212" s="4"/>
      <c r="AB212" s="4"/>
    </row>
    <row r="213" spans="1:206">
      <c r="A213" s="4">
        <v>50</v>
      </c>
      <c r="B213" s="4">
        <v>0</v>
      </c>
      <c r="C213" s="4">
        <v>0</v>
      </c>
      <c r="D213" s="4">
        <v>1</v>
      </c>
      <c r="E213" s="4">
        <v>202</v>
      </c>
      <c r="F213" s="4">
        <f>ROUND(Source!P210,O213)</f>
        <v>51772.01</v>
      </c>
      <c r="G213" s="4" t="s">
        <v>133</v>
      </c>
      <c r="H213" s="4" t="s">
        <v>134</v>
      </c>
      <c r="I213" s="4"/>
      <c r="J213" s="4"/>
      <c r="K213" s="4">
        <v>202</v>
      </c>
      <c r="L213" s="4">
        <v>2</v>
      </c>
      <c r="M213" s="4">
        <v>3</v>
      </c>
      <c r="N213" s="4" t="s">
        <v>3</v>
      </c>
      <c r="O213" s="4">
        <v>2</v>
      </c>
      <c r="P213" s="4"/>
      <c r="Q213" s="4"/>
      <c r="R213" s="4"/>
      <c r="S213" s="4"/>
      <c r="T213" s="4"/>
      <c r="U213" s="4"/>
      <c r="V213" s="4"/>
      <c r="W213" s="4">
        <v>51772.01</v>
      </c>
      <c r="X213" s="4">
        <v>1</v>
      </c>
      <c r="Y213" s="4">
        <v>51772.01</v>
      </c>
      <c r="Z213" s="4"/>
      <c r="AA213" s="4"/>
      <c r="AB213" s="4"/>
    </row>
    <row r="214" spans="1:206">
      <c r="A214" s="4">
        <v>50</v>
      </c>
      <c r="B214" s="4">
        <v>0</v>
      </c>
      <c r="C214" s="4">
        <v>0</v>
      </c>
      <c r="D214" s="4">
        <v>1</v>
      </c>
      <c r="E214" s="4">
        <v>222</v>
      </c>
      <c r="F214" s="4">
        <f>ROUND(Source!AO210,O214)</f>
        <v>0</v>
      </c>
      <c r="G214" s="4" t="s">
        <v>135</v>
      </c>
      <c r="H214" s="4" t="s">
        <v>136</v>
      </c>
      <c r="I214" s="4"/>
      <c r="J214" s="4"/>
      <c r="K214" s="4">
        <v>222</v>
      </c>
      <c r="L214" s="4">
        <v>3</v>
      </c>
      <c r="M214" s="4">
        <v>3</v>
      </c>
      <c r="N214" s="4" t="s">
        <v>3</v>
      </c>
      <c r="O214" s="4">
        <v>2</v>
      </c>
      <c r="P214" s="4"/>
      <c r="Q214" s="4"/>
      <c r="R214" s="4"/>
      <c r="S214" s="4"/>
      <c r="T214" s="4"/>
      <c r="U214" s="4"/>
      <c r="V214" s="4"/>
      <c r="W214" s="4">
        <v>0</v>
      </c>
      <c r="X214" s="4">
        <v>1</v>
      </c>
      <c r="Y214" s="4">
        <v>0</v>
      </c>
      <c r="Z214" s="4"/>
      <c r="AA214" s="4"/>
      <c r="AB214" s="4"/>
    </row>
    <row r="215" spans="1:206">
      <c r="A215" s="4">
        <v>50</v>
      </c>
      <c r="B215" s="4">
        <v>0</v>
      </c>
      <c r="C215" s="4">
        <v>0</v>
      </c>
      <c r="D215" s="4">
        <v>1</v>
      </c>
      <c r="E215" s="4">
        <v>225</v>
      </c>
      <c r="F215" s="4">
        <f>ROUND(Source!AV210,O215)</f>
        <v>51772.01</v>
      </c>
      <c r="G215" s="4" t="s">
        <v>137</v>
      </c>
      <c r="H215" s="4" t="s">
        <v>138</v>
      </c>
      <c r="I215" s="4"/>
      <c r="J215" s="4"/>
      <c r="K215" s="4">
        <v>225</v>
      </c>
      <c r="L215" s="4">
        <v>4</v>
      </c>
      <c r="M215" s="4">
        <v>3</v>
      </c>
      <c r="N215" s="4" t="s">
        <v>3</v>
      </c>
      <c r="O215" s="4">
        <v>2</v>
      </c>
      <c r="P215" s="4"/>
      <c r="Q215" s="4"/>
      <c r="R215" s="4"/>
      <c r="S215" s="4"/>
      <c r="T215" s="4"/>
      <c r="U215" s="4"/>
      <c r="V215" s="4"/>
      <c r="W215" s="4">
        <v>51772.01</v>
      </c>
      <c r="X215" s="4">
        <v>1</v>
      </c>
      <c r="Y215" s="4">
        <v>51772.01</v>
      </c>
      <c r="Z215" s="4"/>
      <c r="AA215" s="4"/>
      <c r="AB215" s="4"/>
    </row>
    <row r="216" spans="1:206">
      <c r="A216" s="4">
        <v>50</v>
      </c>
      <c r="B216" s="4">
        <v>0</v>
      </c>
      <c r="C216" s="4">
        <v>0</v>
      </c>
      <c r="D216" s="4">
        <v>1</v>
      </c>
      <c r="E216" s="4">
        <v>226</v>
      </c>
      <c r="F216" s="4">
        <f>ROUND(Source!AW210,O216)</f>
        <v>51772.01</v>
      </c>
      <c r="G216" s="4" t="s">
        <v>139</v>
      </c>
      <c r="H216" s="4" t="s">
        <v>140</v>
      </c>
      <c r="I216" s="4"/>
      <c r="J216" s="4"/>
      <c r="K216" s="4">
        <v>226</v>
      </c>
      <c r="L216" s="4">
        <v>5</v>
      </c>
      <c r="M216" s="4">
        <v>3</v>
      </c>
      <c r="N216" s="4" t="s">
        <v>3</v>
      </c>
      <c r="O216" s="4">
        <v>2</v>
      </c>
      <c r="P216" s="4"/>
      <c r="Q216" s="4"/>
      <c r="R216" s="4"/>
      <c r="S216" s="4"/>
      <c r="T216" s="4"/>
      <c r="U216" s="4"/>
      <c r="V216" s="4"/>
      <c r="W216" s="4">
        <v>51772.01</v>
      </c>
      <c r="X216" s="4">
        <v>1</v>
      </c>
      <c r="Y216" s="4">
        <v>51772.01</v>
      </c>
      <c r="Z216" s="4"/>
      <c r="AA216" s="4"/>
      <c r="AB216" s="4"/>
    </row>
    <row r="217" spans="1:206">
      <c r="A217" s="4">
        <v>50</v>
      </c>
      <c r="B217" s="4">
        <v>0</v>
      </c>
      <c r="C217" s="4">
        <v>0</v>
      </c>
      <c r="D217" s="4">
        <v>1</v>
      </c>
      <c r="E217" s="4">
        <v>227</v>
      </c>
      <c r="F217" s="4">
        <f>ROUND(Source!AX210,O217)</f>
        <v>0</v>
      </c>
      <c r="G217" s="4" t="s">
        <v>141</v>
      </c>
      <c r="H217" s="4" t="s">
        <v>142</v>
      </c>
      <c r="I217" s="4"/>
      <c r="J217" s="4"/>
      <c r="K217" s="4">
        <v>227</v>
      </c>
      <c r="L217" s="4">
        <v>6</v>
      </c>
      <c r="M217" s="4">
        <v>3</v>
      </c>
      <c r="N217" s="4" t="s">
        <v>3</v>
      </c>
      <c r="O217" s="4">
        <v>2</v>
      </c>
      <c r="P217" s="4"/>
      <c r="Q217" s="4"/>
      <c r="R217" s="4"/>
      <c r="S217" s="4"/>
      <c r="T217" s="4"/>
      <c r="U217" s="4"/>
      <c r="V217" s="4"/>
      <c r="W217" s="4">
        <v>0</v>
      </c>
      <c r="X217" s="4">
        <v>1</v>
      </c>
      <c r="Y217" s="4">
        <v>0</v>
      </c>
      <c r="Z217" s="4"/>
      <c r="AA217" s="4"/>
      <c r="AB217" s="4"/>
    </row>
    <row r="218" spans="1:206">
      <c r="A218" s="4">
        <v>50</v>
      </c>
      <c r="B218" s="4">
        <v>0</v>
      </c>
      <c r="C218" s="4">
        <v>0</v>
      </c>
      <c r="D218" s="4">
        <v>1</v>
      </c>
      <c r="E218" s="4">
        <v>228</v>
      </c>
      <c r="F218" s="4">
        <f>ROUND(Source!AY210,O218)</f>
        <v>51772.01</v>
      </c>
      <c r="G218" s="4" t="s">
        <v>143</v>
      </c>
      <c r="H218" s="4" t="s">
        <v>144</v>
      </c>
      <c r="I218" s="4"/>
      <c r="J218" s="4"/>
      <c r="K218" s="4">
        <v>228</v>
      </c>
      <c r="L218" s="4">
        <v>7</v>
      </c>
      <c r="M218" s="4">
        <v>3</v>
      </c>
      <c r="N218" s="4" t="s">
        <v>3</v>
      </c>
      <c r="O218" s="4">
        <v>2</v>
      </c>
      <c r="P218" s="4"/>
      <c r="Q218" s="4"/>
      <c r="R218" s="4"/>
      <c r="S218" s="4"/>
      <c r="T218" s="4"/>
      <c r="U218" s="4"/>
      <c r="V218" s="4"/>
      <c r="W218" s="4">
        <v>51772.01</v>
      </c>
      <c r="X218" s="4">
        <v>1</v>
      </c>
      <c r="Y218" s="4">
        <v>51772.01</v>
      </c>
      <c r="Z218" s="4"/>
      <c r="AA218" s="4"/>
      <c r="AB218" s="4"/>
    </row>
    <row r="219" spans="1:206">
      <c r="A219" s="4">
        <v>50</v>
      </c>
      <c r="B219" s="4">
        <v>0</v>
      </c>
      <c r="C219" s="4">
        <v>0</v>
      </c>
      <c r="D219" s="4">
        <v>1</v>
      </c>
      <c r="E219" s="4">
        <v>216</v>
      </c>
      <c r="F219" s="4">
        <f>ROUND(Source!AP210,O219)</f>
        <v>0</v>
      </c>
      <c r="G219" s="4" t="s">
        <v>145</v>
      </c>
      <c r="H219" s="4" t="s">
        <v>146</v>
      </c>
      <c r="I219" s="4"/>
      <c r="J219" s="4"/>
      <c r="K219" s="4">
        <v>216</v>
      </c>
      <c r="L219" s="4">
        <v>8</v>
      </c>
      <c r="M219" s="4">
        <v>3</v>
      </c>
      <c r="N219" s="4" t="s">
        <v>3</v>
      </c>
      <c r="O219" s="4">
        <v>2</v>
      </c>
      <c r="P219" s="4"/>
      <c r="Q219" s="4"/>
      <c r="R219" s="4"/>
      <c r="S219" s="4"/>
      <c r="T219" s="4"/>
      <c r="U219" s="4"/>
      <c r="V219" s="4"/>
      <c r="W219" s="4">
        <v>0</v>
      </c>
      <c r="X219" s="4">
        <v>1</v>
      </c>
      <c r="Y219" s="4">
        <v>0</v>
      </c>
      <c r="Z219" s="4"/>
      <c r="AA219" s="4"/>
      <c r="AB219" s="4"/>
    </row>
    <row r="220" spans="1:206">
      <c r="A220" s="4">
        <v>50</v>
      </c>
      <c r="B220" s="4">
        <v>0</v>
      </c>
      <c r="C220" s="4">
        <v>0</v>
      </c>
      <c r="D220" s="4">
        <v>1</v>
      </c>
      <c r="E220" s="4">
        <v>223</v>
      </c>
      <c r="F220" s="4">
        <f>ROUND(Source!AQ210,O220)</f>
        <v>0</v>
      </c>
      <c r="G220" s="4" t="s">
        <v>147</v>
      </c>
      <c r="H220" s="4" t="s">
        <v>148</v>
      </c>
      <c r="I220" s="4"/>
      <c r="J220" s="4"/>
      <c r="K220" s="4">
        <v>223</v>
      </c>
      <c r="L220" s="4">
        <v>9</v>
      </c>
      <c r="M220" s="4">
        <v>3</v>
      </c>
      <c r="N220" s="4" t="s">
        <v>3</v>
      </c>
      <c r="O220" s="4">
        <v>2</v>
      </c>
      <c r="P220" s="4"/>
      <c r="Q220" s="4"/>
      <c r="R220" s="4"/>
      <c r="S220" s="4"/>
      <c r="T220" s="4"/>
      <c r="U220" s="4"/>
      <c r="V220" s="4"/>
      <c r="W220" s="4">
        <v>0</v>
      </c>
      <c r="X220" s="4">
        <v>1</v>
      </c>
      <c r="Y220" s="4">
        <v>0</v>
      </c>
      <c r="Z220" s="4"/>
      <c r="AA220" s="4"/>
      <c r="AB220" s="4"/>
    </row>
    <row r="221" spans="1:206">
      <c r="A221" s="4">
        <v>50</v>
      </c>
      <c r="B221" s="4">
        <v>0</v>
      </c>
      <c r="C221" s="4">
        <v>0</v>
      </c>
      <c r="D221" s="4">
        <v>1</v>
      </c>
      <c r="E221" s="4">
        <v>229</v>
      </c>
      <c r="F221" s="4">
        <f>ROUND(Source!AZ210,O221)</f>
        <v>0</v>
      </c>
      <c r="G221" s="4" t="s">
        <v>149</v>
      </c>
      <c r="H221" s="4" t="s">
        <v>150</v>
      </c>
      <c r="I221" s="4"/>
      <c r="J221" s="4"/>
      <c r="K221" s="4">
        <v>229</v>
      </c>
      <c r="L221" s="4">
        <v>10</v>
      </c>
      <c r="M221" s="4">
        <v>3</v>
      </c>
      <c r="N221" s="4" t="s">
        <v>3</v>
      </c>
      <c r="O221" s="4">
        <v>2</v>
      </c>
      <c r="P221" s="4"/>
      <c r="Q221" s="4"/>
      <c r="R221" s="4"/>
      <c r="S221" s="4"/>
      <c r="T221" s="4"/>
      <c r="U221" s="4"/>
      <c r="V221" s="4"/>
      <c r="W221" s="4">
        <v>0</v>
      </c>
      <c r="X221" s="4">
        <v>1</v>
      </c>
      <c r="Y221" s="4">
        <v>0</v>
      </c>
      <c r="Z221" s="4"/>
      <c r="AA221" s="4"/>
      <c r="AB221" s="4"/>
    </row>
    <row r="222" spans="1:206">
      <c r="A222" s="4">
        <v>50</v>
      </c>
      <c r="B222" s="4">
        <v>0</v>
      </c>
      <c r="C222" s="4">
        <v>0</v>
      </c>
      <c r="D222" s="4">
        <v>1</v>
      </c>
      <c r="E222" s="4">
        <v>203</v>
      </c>
      <c r="F222" s="4">
        <f>ROUND(Source!Q210,O222)</f>
        <v>654.51</v>
      </c>
      <c r="G222" s="4" t="s">
        <v>151</v>
      </c>
      <c r="H222" s="4" t="s">
        <v>152</v>
      </c>
      <c r="I222" s="4"/>
      <c r="J222" s="4"/>
      <c r="K222" s="4">
        <v>203</v>
      </c>
      <c r="L222" s="4">
        <v>11</v>
      </c>
      <c r="M222" s="4">
        <v>3</v>
      </c>
      <c r="N222" s="4" t="s">
        <v>3</v>
      </c>
      <c r="O222" s="4">
        <v>2</v>
      </c>
      <c r="P222" s="4"/>
      <c r="Q222" s="4"/>
      <c r="R222" s="4"/>
      <c r="S222" s="4"/>
      <c r="T222" s="4"/>
      <c r="U222" s="4"/>
      <c r="V222" s="4"/>
      <c r="W222" s="4">
        <v>654.51</v>
      </c>
      <c r="X222" s="4">
        <v>1</v>
      </c>
      <c r="Y222" s="4">
        <v>654.51</v>
      </c>
      <c r="Z222" s="4"/>
      <c r="AA222" s="4"/>
      <c r="AB222" s="4"/>
    </row>
    <row r="223" spans="1:206">
      <c r="A223" s="4">
        <v>50</v>
      </c>
      <c r="B223" s="4">
        <v>0</v>
      </c>
      <c r="C223" s="4">
        <v>0</v>
      </c>
      <c r="D223" s="4">
        <v>1</v>
      </c>
      <c r="E223" s="4">
        <v>231</v>
      </c>
      <c r="F223" s="4">
        <f>ROUND(Source!BB210,O223)</f>
        <v>0</v>
      </c>
      <c r="G223" s="4" t="s">
        <v>153</v>
      </c>
      <c r="H223" s="4" t="s">
        <v>154</v>
      </c>
      <c r="I223" s="4"/>
      <c r="J223" s="4"/>
      <c r="K223" s="4">
        <v>231</v>
      </c>
      <c r="L223" s="4">
        <v>12</v>
      </c>
      <c r="M223" s="4">
        <v>3</v>
      </c>
      <c r="N223" s="4" t="s">
        <v>3</v>
      </c>
      <c r="O223" s="4">
        <v>2</v>
      </c>
      <c r="P223" s="4"/>
      <c r="Q223" s="4"/>
      <c r="R223" s="4"/>
      <c r="S223" s="4"/>
      <c r="T223" s="4"/>
      <c r="U223" s="4"/>
      <c r="V223" s="4"/>
      <c r="W223" s="4">
        <v>0</v>
      </c>
      <c r="X223" s="4">
        <v>1</v>
      </c>
      <c r="Y223" s="4">
        <v>0</v>
      </c>
      <c r="Z223" s="4"/>
      <c r="AA223" s="4"/>
      <c r="AB223" s="4"/>
    </row>
    <row r="224" spans="1:206">
      <c r="A224" s="4">
        <v>50</v>
      </c>
      <c r="B224" s="4">
        <v>0</v>
      </c>
      <c r="C224" s="4">
        <v>0</v>
      </c>
      <c r="D224" s="4">
        <v>1</v>
      </c>
      <c r="E224" s="4">
        <v>204</v>
      </c>
      <c r="F224" s="4">
        <f>ROUND(Source!R210,O224)</f>
        <v>429.17</v>
      </c>
      <c r="G224" s="4" t="s">
        <v>155</v>
      </c>
      <c r="H224" s="4" t="s">
        <v>156</v>
      </c>
      <c r="I224" s="4"/>
      <c r="J224" s="4"/>
      <c r="K224" s="4">
        <v>204</v>
      </c>
      <c r="L224" s="4">
        <v>13</v>
      </c>
      <c r="M224" s="4">
        <v>3</v>
      </c>
      <c r="N224" s="4" t="s">
        <v>3</v>
      </c>
      <c r="O224" s="4">
        <v>2</v>
      </c>
      <c r="P224" s="4"/>
      <c r="Q224" s="4"/>
      <c r="R224" s="4"/>
      <c r="S224" s="4"/>
      <c r="T224" s="4"/>
      <c r="U224" s="4"/>
      <c r="V224" s="4"/>
      <c r="W224" s="4">
        <v>429.17</v>
      </c>
      <c r="X224" s="4">
        <v>1</v>
      </c>
      <c r="Y224" s="4">
        <v>429.17</v>
      </c>
      <c r="Z224" s="4"/>
      <c r="AA224" s="4"/>
      <c r="AB224" s="4"/>
    </row>
    <row r="225" spans="1:206">
      <c r="A225" s="4">
        <v>50</v>
      </c>
      <c r="B225" s="4">
        <v>0</v>
      </c>
      <c r="C225" s="4">
        <v>0</v>
      </c>
      <c r="D225" s="4">
        <v>1</v>
      </c>
      <c r="E225" s="4">
        <v>205</v>
      </c>
      <c r="F225" s="4">
        <f>ROUND(Source!S210,O225)</f>
        <v>37147.17</v>
      </c>
      <c r="G225" s="4" t="s">
        <v>157</v>
      </c>
      <c r="H225" s="4" t="s">
        <v>158</v>
      </c>
      <c r="I225" s="4"/>
      <c r="J225" s="4"/>
      <c r="K225" s="4">
        <v>205</v>
      </c>
      <c r="L225" s="4">
        <v>14</v>
      </c>
      <c r="M225" s="4">
        <v>3</v>
      </c>
      <c r="N225" s="4" t="s">
        <v>3</v>
      </c>
      <c r="O225" s="4">
        <v>2</v>
      </c>
      <c r="P225" s="4"/>
      <c r="Q225" s="4"/>
      <c r="R225" s="4"/>
      <c r="S225" s="4"/>
      <c r="T225" s="4"/>
      <c r="U225" s="4"/>
      <c r="V225" s="4"/>
      <c r="W225" s="4">
        <v>37147.17</v>
      </c>
      <c r="X225" s="4">
        <v>1</v>
      </c>
      <c r="Y225" s="4">
        <v>37147.17</v>
      </c>
      <c r="Z225" s="4"/>
      <c r="AA225" s="4"/>
      <c r="AB225" s="4"/>
    </row>
    <row r="226" spans="1:206">
      <c r="A226" s="4">
        <v>50</v>
      </c>
      <c r="B226" s="4">
        <v>0</v>
      </c>
      <c r="C226" s="4">
        <v>0</v>
      </c>
      <c r="D226" s="4">
        <v>1</v>
      </c>
      <c r="E226" s="4">
        <v>232</v>
      </c>
      <c r="F226" s="4">
        <f>ROUND(Source!BC210,O226)</f>
        <v>0</v>
      </c>
      <c r="G226" s="4" t="s">
        <v>159</v>
      </c>
      <c r="H226" s="4" t="s">
        <v>160</v>
      </c>
      <c r="I226" s="4"/>
      <c r="J226" s="4"/>
      <c r="K226" s="4">
        <v>232</v>
      </c>
      <c r="L226" s="4">
        <v>15</v>
      </c>
      <c r="M226" s="4">
        <v>3</v>
      </c>
      <c r="N226" s="4" t="s">
        <v>3</v>
      </c>
      <c r="O226" s="4">
        <v>2</v>
      </c>
      <c r="P226" s="4"/>
      <c r="Q226" s="4"/>
      <c r="R226" s="4"/>
      <c r="S226" s="4"/>
      <c r="T226" s="4"/>
      <c r="U226" s="4"/>
      <c r="V226" s="4"/>
      <c r="W226" s="4">
        <v>0</v>
      </c>
      <c r="X226" s="4">
        <v>1</v>
      </c>
      <c r="Y226" s="4">
        <v>0</v>
      </c>
      <c r="Z226" s="4"/>
      <c r="AA226" s="4"/>
      <c r="AB226" s="4"/>
    </row>
    <row r="227" spans="1:206">
      <c r="A227" s="4">
        <v>50</v>
      </c>
      <c r="B227" s="4">
        <v>0</v>
      </c>
      <c r="C227" s="4">
        <v>0</v>
      </c>
      <c r="D227" s="4">
        <v>1</v>
      </c>
      <c r="E227" s="4">
        <v>214</v>
      </c>
      <c r="F227" s="4">
        <f>ROUND(Source!AS210,O227)</f>
        <v>3058.7</v>
      </c>
      <c r="G227" s="4" t="s">
        <v>161</v>
      </c>
      <c r="H227" s="4" t="s">
        <v>162</v>
      </c>
      <c r="I227" s="4"/>
      <c r="J227" s="4"/>
      <c r="K227" s="4">
        <v>214</v>
      </c>
      <c r="L227" s="4">
        <v>16</v>
      </c>
      <c r="M227" s="4">
        <v>3</v>
      </c>
      <c r="N227" s="4" t="s">
        <v>3</v>
      </c>
      <c r="O227" s="4">
        <v>2</v>
      </c>
      <c r="P227" s="4"/>
      <c r="Q227" s="4"/>
      <c r="R227" s="4"/>
      <c r="S227" s="4"/>
      <c r="T227" s="4"/>
      <c r="U227" s="4"/>
      <c r="V227" s="4"/>
      <c r="W227" s="4">
        <v>3058.7</v>
      </c>
      <c r="X227" s="4">
        <v>1</v>
      </c>
      <c r="Y227" s="4">
        <v>3058.7</v>
      </c>
      <c r="Z227" s="4"/>
      <c r="AA227" s="4"/>
      <c r="AB227" s="4"/>
    </row>
    <row r="228" spans="1:206">
      <c r="A228" s="4">
        <v>50</v>
      </c>
      <c r="B228" s="4">
        <v>0</v>
      </c>
      <c r="C228" s="4">
        <v>0</v>
      </c>
      <c r="D228" s="4">
        <v>1</v>
      </c>
      <c r="E228" s="4">
        <v>215</v>
      </c>
      <c r="F228" s="4">
        <f>ROUND(Source!AT210,O228)</f>
        <v>110640.32000000001</v>
      </c>
      <c r="G228" s="4" t="s">
        <v>163</v>
      </c>
      <c r="H228" s="4" t="s">
        <v>164</v>
      </c>
      <c r="I228" s="4"/>
      <c r="J228" s="4"/>
      <c r="K228" s="4">
        <v>215</v>
      </c>
      <c r="L228" s="4">
        <v>17</v>
      </c>
      <c r="M228" s="4">
        <v>3</v>
      </c>
      <c r="N228" s="4" t="s">
        <v>3</v>
      </c>
      <c r="O228" s="4">
        <v>2</v>
      </c>
      <c r="P228" s="4"/>
      <c r="Q228" s="4"/>
      <c r="R228" s="4"/>
      <c r="S228" s="4"/>
      <c r="T228" s="4"/>
      <c r="U228" s="4"/>
      <c r="V228" s="4"/>
      <c r="W228" s="4">
        <v>110640.32000000001</v>
      </c>
      <c r="X228" s="4">
        <v>1</v>
      </c>
      <c r="Y228" s="4">
        <v>110640.32000000001</v>
      </c>
      <c r="Z228" s="4"/>
      <c r="AA228" s="4"/>
      <c r="AB228" s="4"/>
    </row>
    <row r="229" spans="1:206">
      <c r="A229" s="4">
        <v>50</v>
      </c>
      <c r="B229" s="4">
        <v>0</v>
      </c>
      <c r="C229" s="4">
        <v>0</v>
      </c>
      <c r="D229" s="4">
        <v>1</v>
      </c>
      <c r="E229" s="4">
        <v>217</v>
      </c>
      <c r="F229" s="4">
        <f>ROUND(Source!AU210,O229)</f>
        <v>26460.73</v>
      </c>
      <c r="G229" s="4" t="s">
        <v>165</v>
      </c>
      <c r="H229" s="4" t="s">
        <v>166</v>
      </c>
      <c r="I229" s="4"/>
      <c r="J229" s="4"/>
      <c r="K229" s="4">
        <v>217</v>
      </c>
      <c r="L229" s="4">
        <v>18</v>
      </c>
      <c r="M229" s="4">
        <v>3</v>
      </c>
      <c r="N229" s="4" t="s">
        <v>3</v>
      </c>
      <c r="O229" s="4">
        <v>2</v>
      </c>
      <c r="P229" s="4"/>
      <c r="Q229" s="4"/>
      <c r="R229" s="4"/>
      <c r="S229" s="4"/>
      <c r="T229" s="4"/>
      <c r="U229" s="4"/>
      <c r="V229" s="4"/>
      <c r="W229" s="4">
        <v>26460.73</v>
      </c>
      <c r="X229" s="4">
        <v>1</v>
      </c>
      <c r="Y229" s="4">
        <v>26460.73</v>
      </c>
      <c r="Z229" s="4"/>
      <c r="AA229" s="4"/>
      <c r="AB229" s="4"/>
    </row>
    <row r="230" spans="1:206">
      <c r="A230" s="4">
        <v>50</v>
      </c>
      <c r="B230" s="4">
        <v>0</v>
      </c>
      <c r="C230" s="4">
        <v>0</v>
      </c>
      <c r="D230" s="4">
        <v>1</v>
      </c>
      <c r="E230" s="4">
        <v>230</v>
      </c>
      <c r="F230" s="4">
        <f>ROUND(Source!BA210,O230)</f>
        <v>0</v>
      </c>
      <c r="G230" s="4" t="s">
        <v>167</v>
      </c>
      <c r="H230" s="4" t="s">
        <v>168</v>
      </c>
      <c r="I230" s="4"/>
      <c r="J230" s="4"/>
      <c r="K230" s="4">
        <v>230</v>
      </c>
      <c r="L230" s="4">
        <v>19</v>
      </c>
      <c r="M230" s="4">
        <v>3</v>
      </c>
      <c r="N230" s="4" t="s">
        <v>3</v>
      </c>
      <c r="O230" s="4">
        <v>2</v>
      </c>
      <c r="P230" s="4"/>
      <c r="Q230" s="4"/>
      <c r="R230" s="4"/>
      <c r="S230" s="4"/>
      <c r="T230" s="4"/>
      <c r="U230" s="4"/>
      <c r="V230" s="4"/>
      <c r="W230" s="4">
        <v>0</v>
      </c>
      <c r="X230" s="4">
        <v>1</v>
      </c>
      <c r="Y230" s="4">
        <v>0</v>
      </c>
      <c r="Z230" s="4"/>
      <c r="AA230" s="4"/>
      <c r="AB230" s="4"/>
    </row>
    <row r="231" spans="1:206">
      <c r="A231" s="4">
        <v>50</v>
      </c>
      <c r="B231" s="4">
        <v>0</v>
      </c>
      <c r="C231" s="4">
        <v>0</v>
      </c>
      <c r="D231" s="4">
        <v>1</v>
      </c>
      <c r="E231" s="4">
        <v>206</v>
      </c>
      <c r="F231" s="4">
        <f>ROUND(Source!T210,O231)</f>
        <v>0</v>
      </c>
      <c r="G231" s="4" t="s">
        <v>169</v>
      </c>
      <c r="H231" s="4" t="s">
        <v>170</v>
      </c>
      <c r="I231" s="4"/>
      <c r="J231" s="4"/>
      <c r="K231" s="4">
        <v>206</v>
      </c>
      <c r="L231" s="4">
        <v>20</v>
      </c>
      <c r="M231" s="4">
        <v>3</v>
      </c>
      <c r="N231" s="4" t="s">
        <v>3</v>
      </c>
      <c r="O231" s="4">
        <v>2</v>
      </c>
      <c r="P231" s="4"/>
      <c r="Q231" s="4"/>
      <c r="R231" s="4"/>
      <c r="S231" s="4"/>
      <c r="T231" s="4"/>
      <c r="U231" s="4"/>
      <c r="V231" s="4"/>
      <c r="W231" s="4">
        <v>0</v>
      </c>
      <c r="X231" s="4">
        <v>1</v>
      </c>
      <c r="Y231" s="4">
        <v>0</v>
      </c>
      <c r="Z231" s="4"/>
      <c r="AA231" s="4"/>
      <c r="AB231" s="4"/>
    </row>
    <row r="232" spans="1:206">
      <c r="A232" s="4">
        <v>50</v>
      </c>
      <c r="B232" s="4">
        <v>0</v>
      </c>
      <c r="C232" s="4">
        <v>0</v>
      </c>
      <c r="D232" s="4">
        <v>1</v>
      </c>
      <c r="E232" s="4">
        <v>207</v>
      </c>
      <c r="F232" s="4">
        <f>Source!U210</f>
        <v>47.56897579999999</v>
      </c>
      <c r="G232" s="4" t="s">
        <v>171</v>
      </c>
      <c r="H232" s="4" t="s">
        <v>172</v>
      </c>
      <c r="I232" s="4"/>
      <c r="J232" s="4"/>
      <c r="K232" s="4">
        <v>207</v>
      </c>
      <c r="L232" s="4">
        <v>21</v>
      </c>
      <c r="M232" s="4">
        <v>3</v>
      </c>
      <c r="N232" s="4" t="s">
        <v>3</v>
      </c>
      <c r="O232" s="4">
        <v>-1</v>
      </c>
      <c r="P232" s="4"/>
      <c r="Q232" s="4"/>
      <c r="R232" s="4"/>
      <c r="S232" s="4"/>
      <c r="T232" s="4"/>
      <c r="U232" s="4"/>
      <c r="V232" s="4"/>
      <c r="W232" s="4">
        <v>47.56897579999999</v>
      </c>
      <c r="X232" s="4">
        <v>1</v>
      </c>
      <c r="Y232" s="4">
        <v>47.56897579999999</v>
      </c>
      <c r="Z232" s="4"/>
      <c r="AA232" s="4"/>
      <c r="AB232" s="4"/>
    </row>
    <row r="233" spans="1:206">
      <c r="A233" s="4">
        <v>50</v>
      </c>
      <c r="B233" s="4">
        <v>0</v>
      </c>
      <c r="C233" s="4">
        <v>0</v>
      </c>
      <c r="D233" s="4">
        <v>1</v>
      </c>
      <c r="E233" s="4">
        <v>208</v>
      </c>
      <c r="F233" s="4">
        <f>Source!V210</f>
        <v>0</v>
      </c>
      <c r="G233" s="4" t="s">
        <v>173</v>
      </c>
      <c r="H233" s="4" t="s">
        <v>174</v>
      </c>
      <c r="I233" s="4"/>
      <c r="J233" s="4"/>
      <c r="K233" s="4">
        <v>208</v>
      </c>
      <c r="L233" s="4">
        <v>22</v>
      </c>
      <c r="M233" s="4">
        <v>3</v>
      </c>
      <c r="N233" s="4" t="s">
        <v>3</v>
      </c>
      <c r="O233" s="4">
        <v>-1</v>
      </c>
      <c r="P233" s="4"/>
      <c r="Q233" s="4"/>
      <c r="R233" s="4"/>
      <c r="S233" s="4"/>
      <c r="T233" s="4"/>
      <c r="U233" s="4"/>
      <c r="V233" s="4"/>
      <c r="W233" s="4">
        <v>0</v>
      </c>
      <c r="X233" s="4">
        <v>1</v>
      </c>
      <c r="Y233" s="4">
        <v>0</v>
      </c>
      <c r="Z233" s="4"/>
      <c r="AA233" s="4"/>
      <c r="AB233" s="4"/>
    </row>
    <row r="234" spans="1:206">
      <c r="A234" s="4">
        <v>50</v>
      </c>
      <c r="B234" s="4">
        <v>0</v>
      </c>
      <c r="C234" s="4">
        <v>0</v>
      </c>
      <c r="D234" s="4">
        <v>1</v>
      </c>
      <c r="E234" s="4">
        <v>209</v>
      </c>
      <c r="F234" s="4">
        <f>ROUND(Source!W210,O234)</f>
        <v>0</v>
      </c>
      <c r="G234" s="4" t="s">
        <v>175</v>
      </c>
      <c r="H234" s="4" t="s">
        <v>176</v>
      </c>
      <c r="I234" s="4"/>
      <c r="J234" s="4"/>
      <c r="K234" s="4">
        <v>209</v>
      </c>
      <c r="L234" s="4">
        <v>23</v>
      </c>
      <c r="M234" s="4">
        <v>3</v>
      </c>
      <c r="N234" s="4" t="s">
        <v>3</v>
      </c>
      <c r="O234" s="4">
        <v>2</v>
      </c>
      <c r="P234" s="4"/>
      <c r="Q234" s="4"/>
      <c r="R234" s="4"/>
      <c r="S234" s="4"/>
      <c r="T234" s="4"/>
      <c r="U234" s="4"/>
      <c r="V234" s="4"/>
      <c r="W234" s="4">
        <v>0</v>
      </c>
      <c r="X234" s="4">
        <v>1</v>
      </c>
      <c r="Y234" s="4">
        <v>0</v>
      </c>
      <c r="Z234" s="4"/>
      <c r="AA234" s="4"/>
      <c r="AB234" s="4"/>
    </row>
    <row r="235" spans="1:206">
      <c r="A235" s="4">
        <v>50</v>
      </c>
      <c r="B235" s="4">
        <v>0</v>
      </c>
      <c r="C235" s="4">
        <v>0</v>
      </c>
      <c r="D235" s="4">
        <v>1</v>
      </c>
      <c r="E235" s="4">
        <v>233</v>
      </c>
      <c r="F235" s="4">
        <f>ROUND(Source!BD210,O235)</f>
        <v>0</v>
      </c>
      <c r="G235" s="4" t="s">
        <v>177</v>
      </c>
      <c r="H235" s="4" t="s">
        <v>178</v>
      </c>
      <c r="I235" s="4"/>
      <c r="J235" s="4"/>
      <c r="K235" s="4">
        <v>233</v>
      </c>
      <c r="L235" s="4">
        <v>24</v>
      </c>
      <c r="M235" s="4">
        <v>3</v>
      </c>
      <c r="N235" s="4" t="s">
        <v>3</v>
      </c>
      <c r="O235" s="4">
        <v>2</v>
      </c>
      <c r="P235" s="4"/>
      <c r="Q235" s="4"/>
      <c r="R235" s="4"/>
      <c r="S235" s="4"/>
      <c r="T235" s="4"/>
      <c r="U235" s="4"/>
      <c r="V235" s="4"/>
      <c r="W235" s="4">
        <v>0</v>
      </c>
      <c r="X235" s="4">
        <v>1</v>
      </c>
      <c r="Y235" s="4">
        <v>0</v>
      </c>
      <c r="Z235" s="4"/>
      <c r="AA235" s="4"/>
      <c r="AB235" s="4"/>
    </row>
    <row r="236" spans="1:206">
      <c r="A236" s="4">
        <v>50</v>
      </c>
      <c r="B236" s="4">
        <v>0</v>
      </c>
      <c r="C236" s="4">
        <v>0</v>
      </c>
      <c r="D236" s="4">
        <v>1</v>
      </c>
      <c r="E236" s="4">
        <v>210</v>
      </c>
      <c r="F236" s="4">
        <f>ROUND(Source!X210,O236)</f>
        <v>33391.53</v>
      </c>
      <c r="G236" s="4" t="s">
        <v>179</v>
      </c>
      <c r="H236" s="4" t="s">
        <v>180</v>
      </c>
      <c r="I236" s="4"/>
      <c r="J236" s="4"/>
      <c r="K236" s="4">
        <v>210</v>
      </c>
      <c r="L236" s="4">
        <v>25</v>
      </c>
      <c r="M236" s="4">
        <v>3</v>
      </c>
      <c r="N236" s="4" t="s">
        <v>3</v>
      </c>
      <c r="O236" s="4">
        <v>2</v>
      </c>
      <c r="P236" s="4"/>
      <c r="Q236" s="4"/>
      <c r="R236" s="4"/>
      <c r="S236" s="4"/>
      <c r="T236" s="4"/>
      <c r="U236" s="4"/>
      <c r="V236" s="4"/>
      <c r="W236" s="4">
        <v>33391.53</v>
      </c>
      <c r="X236" s="4">
        <v>1</v>
      </c>
      <c r="Y236" s="4">
        <v>33391.53</v>
      </c>
      <c r="Z236" s="4"/>
      <c r="AA236" s="4"/>
      <c r="AB236" s="4"/>
    </row>
    <row r="237" spans="1:206">
      <c r="A237" s="4">
        <v>50</v>
      </c>
      <c r="B237" s="4">
        <v>0</v>
      </c>
      <c r="C237" s="4">
        <v>0</v>
      </c>
      <c r="D237" s="4">
        <v>1</v>
      </c>
      <c r="E237" s="4">
        <v>211</v>
      </c>
      <c r="F237" s="4">
        <f>ROUND(Source!Y210,O237)</f>
        <v>17194.53</v>
      </c>
      <c r="G237" s="4" t="s">
        <v>181</v>
      </c>
      <c r="H237" s="4" t="s">
        <v>182</v>
      </c>
      <c r="I237" s="4"/>
      <c r="J237" s="4"/>
      <c r="K237" s="4">
        <v>211</v>
      </c>
      <c r="L237" s="4">
        <v>26</v>
      </c>
      <c r="M237" s="4">
        <v>3</v>
      </c>
      <c r="N237" s="4" t="s">
        <v>3</v>
      </c>
      <c r="O237" s="4">
        <v>2</v>
      </c>
      <c r="P237" s="4"/>
      <c r="Q237" s="4"/>
      <c r="R237" s="4"/>
      <c r="S237" s="4"/>
      <c r="T237" s="4"/>
      <c r="U237" s="4"/>
      <c r="V237" s="4"/>
      <c r="W237" s="4">
        <v>17194.53</v>
      </c>
      <c r="X237" s="4">
        <v>1</v>
      </c>
      <c r="Y237" s="4">
        <v>17194.53</v>
      </c>
      <c r="Z237" s="4"/>
      <c r="AA237" s="4"/>
      <c r="AB237" s="4"/>
    </row>
    <row r="238" spans="1:206">
      <c r="A238" s="4">
        <v>50</v>
      </c>
      <c r="B238" s="4">
        <v>0</v>
      </c>
      <c r="C238" s="4">
        <v>0</v>
      </c>
      <c r="D238" s="4">
        <v>1</v>
      </c>
      <c r="E238" s="4">
        <v>224</v>
      </c>
      <c r="F238" s="4">
        <f>ROUND(Source!AR210,O238)</f>
        <v>140159.75</v>
      </c>
      <c r="G238" s="4" t="s">
        <v>183</v>
      </c>
      <c r="H238" s="4" t="s">
        <v>184</v>
      </c>
      <c r="I238" s="4"/>
      <c r="J238" s="4"/>
      <c r="K238" s="4">
        <v>224</v>
      </c>
      <c r="L238" s="4">
        <v>27</v>
      </c>
      <c r="M238" s="4">
        <v>3</v>
      </c>
      <c r="N238" s="4" t="s">
        <v>3</v>
      </c>
      <c r="O238" s="4">
        <v>2</v>
      </c>
      <c r="P238" s="4"/>
      <c r="Q238" s="4"/>
      <c r="R238" s="4"/>
      <c r="S238" s="4"/>
      <c r="T238" s="4"/>
      <c r="U238" s="4"/>
      <c r="V238" s="4"/>
      <c r="W238" s="4">
        <v>140159.75</v>
      </c>
      <c r="X238" s="4">
        <v>1</v>
      </c>
      <c r="Y238" s="4">
        <v>140159.75</v>
      </c>
      <c r="Z238" s="4"/>
      <c r="AA238" s="4"/>
      <c r="AB238" s="4"/>
    </row>
    <row r="240" spans="1:206">
      <c r="A240" s="2">
        <v>51</v>
      </c>
      <c r="B240" s="2">
        <f>B20</f>
        <v>1</v>
      </c>
      <c r="C240" s="2">
        <f>A20</f>
        <v>3</v>
      </c>
      <c r="D240" s="2">
        <f>ROW(A20)</f>
        <v>20</v>
      </c>
      <c r="E240" s="2"/>
      <c r="F240" s="2" t="str">
        <f>IF(F20&lt;&gt;"",F20,"")</f>
        <v>Новая локальная смета</v>
      </c>
      <c r="G240" s="2" t="str">
        <f>IF(G20&lt;&gt;"",G20,"")</f>
        <v>Новая локальная смета</v>
      </c>
      <c r="H240" s="2">
        <v>0</v>
      </c>
      <c r="I240" s="2"/>
      <c r="J240" s="2"/>
      <c r="K240" s="2"/>
      <c r="L240" s="2"/>
      <c r="M240" s="2"/>
      <c r="N240" s="2"/>
      <c r="O240" s="2">
        <f t="shared" ref="O240:T240" si="217">ROUND(O61+O126+O210+AB240,2)</f>
        <v>250644.29</v>
      </c>
      <c r="P240" s="2">
        <f t="shared" si="217"/>
        <v>109410.5</v>
      </c>
      <c r="Q240" s="2">
        <f t="shared" si="217"/>
        <v>1868.18</v>
      </c>
      <c r="R240" s="2">
        <f t="shared" si="217"/>
        <v>876.24</v>
      </c>
      <c r="S240" s="2">
        <f t="shared" si="217"/>
        <v>139365.60999999999</v>
      </c>
      <c r="T240" s="2">
        <f t="shared" si="217"/>
        <v>0</v>
      </c>
      <c r="U240" s="2">
        <f>U61+U126+U210+AH240</f>
        <v>177.54845579999994</v>
      </c>
      <c r="V240" s="2">
        <f>V61+V126+V210+AI240</f>
        <v>0</v>
      </c>
      <c r="W240" s="2">
        <f>ROUND(W61+W126+W210+AJ240,2)</f>
        <v>0</v>
      </c>
      <c r="X240" s="2">
        <f>ROUND(X61+X126+X210+AK240,2)</f>
        <v>120773.75</v>
      </c>
      <c r="Y240" s="2">
        <f>ROUND(Y61+Y126+Y210+AL240,2)</f>
        <v>61727.69</v>
      </c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>
        <f t="shared" ref="AO240:BD240" si="218">ROUND(AO61+AO126+AO210+BX240,2)</f>
        <v>0</v>
      </c>
      <c r="AP240" s="2">
        <f t="shared" si="218"/>
        <v>35331.96</v>
      </c>
      <c r="AQ240" s="2">
        <f t="shared" si="218"/>
        <v>0</v>
      </c>
      <c r="AR240" s="2">
        <f t="shared" si="218"/>
        <v>433145.73</v>
      </c>
      <c r="AS240" s="2">
        <f t="shared" si="218"/>
        <v>37206.589999999997</v>
      </c>
      <c r="AT240" s="2">
        <f t="shared" si="218"/>
        <v>216050.23</v>
      </c>
      <c r="AU240" s="2">
        <f t="shared" si="218"/>
        <v>144556.95000000001</v>
      </c>
      <c r="AV240" s="2">
        <f t="shared" si="218"/>
        <v>109410.5</v>
      </c>
      <c r="AW240" s="2">
        <f t="shared" si="218"/>
        <v>74078.539999999994</v>
      </c>
      <c r="AX240" s="2">
        <f t="shared" si="218"/>
        <v>0</v>
      </c>
      <c r="AY240" s="2">
        <f t="shared" si="218"/>
        <v>74078.539999999994</v>
      </c>
      <c r="AZ240" s="2">
        <f t="shared" si="218"/>
        <v>35331.96</v>
      </c>
      <c r="BA240" s="2">
        <f t="shared" si="218"/>
        <v>0</v>
      </c>
      <c r="BB240" s="2">
        <f t="shared" si="218"/>
        <v>0</v>
      </c>
      <c r="BC240" s="2">
        <f t="shared" si="218"/>
        <v>0</v>
      </c>
      <c r="BD240" s="2">
        <f t="shared" si="218"/>
        <v>0</v>
      </c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>
        <v>0</v>
      </c>
    </row>
    <row r="242" spans="1:28">
      <c r="A242" s="4">
        <v>50</v>
      </c>
      <c r="B242" s="4">
        <v>0</v>
      </c>
      <c r="C242" s="4">
        <v>0</v>
      </c>
      <c r="D242" s="4">
        <v>1</v>
      </c>
      <c r="E242" s="4">
        <v>201</v>
      </c>
      <c r="F242" s="4">
        <f>ROUND(Source!O240,O242)</f>
        <v>250644.29</v>
      </c>
      <c r="G242" s="4" t="s">
        <v>131</v>
      </c>
      <c r="H242" s="4" t="s">
        <v>132</v>
      </c>
      <c r="I242" s="4"/>
      <c r="J242" s="4"/>
      <c r="K242" s="4">
        <v>201</v>
      </c>
      <c r="L242" s="4">
        <v>1</v>
      </c>
      <c r="M242" s="4">
        <v>3</v>
      </c>
      <c r="N242" s="4" t="s">
        <v>3</v>
      </c>
      <c r="O242" s="4">
        <v>2</v>
      </c>
      <c r="P242" s="4"/>
      <c r="Q242" s="4"/>
      <c r="R242" s="4"/>
      <c r="S242" s="4"/>
      <c r="T242" s="4"/>
      <c r="U242" s="4"/>
      <c r="V242" s="4"/>
      <c r="W242" s="4">
        <v>250644.29</v>
      </c>
      <c r="X242" s="4">
        <v>1</v>
      </c>
      <c r="Y242" s="4">
        <v>250644.29</v>
      </c>
      <c r="Z242" s="4"/>
      <c r="AA242" s="4"/>
      <c r="AB242" s="4"/>
    </row>
    <row r="243" spans="1:28">
      <c r="A243" s="4">
        <v>50</v>
      </c>
      <c r="B243" s="4">
        <v>0</v>
      </c>
      <c r="C243" s="4">
        <v>0</v>
      </c>
      <c r="D243" s="4">
        <v>1</v>
      </c>
      <c r="E243" s="4">
        <v>202</v>
      </c>
      <c r="F243" s="4">
        <f>ROUND(Source!P240,O243)</f>
        <v>109410.5</v>
      </c>
      <c r="G243" s="4" t="s">
        <v>133</v>
      </c>
      <c r="H243" s="4" t="s">
        <v>134</v>
      </c>
      <c r="I243" s="4"/>
      <c r="J243" s="4"/>
      <c r="K243" s="4">
        <v>202</v>
      </c>
      <c r="L243" s="4">
        <v>2</v>
      </c>
      <c r="M243" s="4">
        <v>3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>
        <v>109410.5</v>
      </c>
      <c r="X243" s="4">
        <v>1</v>
      </c>
      <c r="Y243" s="4">
        <v>109410.5</v>
      </c>
      <c r="Z243" s="4"/>
      <c r="AA243" s="4"/>
      <c r="AB243" s="4"/>
    </row>
    <row r="244" spans="1:28">
      <c r="A244" s="4">
        <v>50</v>
      </c>
      <c r="B244" s="4">
        <v>0</v>
      </c>
      <c r="C244" s="4">
        <v>0</v>
      </c>
      <c r="D244" s="4">
        <v>1</v>
      </c>
      <c r="E244" s="4">
        <v>222</v>
      </c>
      <c r="F244" s="4">
        <f>ROUND(Source!AO240,O244)</f>
        <v>0</v>
      </c>
      <c r="G244" s="4" t="s">
        <v>135</v>
      </c>
      <c r="H244" s="4" t="s">
        <v>136</v>
      </c>
      <c r="I244" s="4"/>
      <c r="J244" s="4"/>
      <c r="K244" s="4">
        <v>222</v>
      </c>
      <c r="L244" s="4">
        <v>3</v>
      </c>
      <c r="M244" s="4">
        <v>3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>
        <v>0</v>
      </c>
      <c r="X244" s="4">
        <v>1</v>
      </c>
      <c r="Y244" s="4">
        <v>0</v>
      </c>
      <c r="Z244" s="4"/>
      <c r="AA244" s="4"/>
      <c r="AB244" s="4"/>
    </row>
    <row r="245" spans="1:28">
      <c r="A245" s="4">
        <v>50</v>
      </c>
      <c r="B245" s="4">
        <v>0</v>
      </c>
      <c r="C245" s="4">
        <v>0</v>
      </c>
      <c r="D245" s="4">
        <v>1</v>
      </c>
      <c r="E245" s="4">
        <v>225</v>
      </c>
      <c r="F245" s="4">
        <f>ROUND(Source!AV240,O245)</f>
        <v>109410.5</v>
      </c>
      <c r="G245" s="4" t="s">
        <v>137</v>
      </c>
      <c r="H245" s="4" t="s">
        <v>138</v>
      </c>
      <c r="I245" s="4"/>
      <c r="J245" s="4"/>
      <c r="K245" s="4">
        <v>225</v>
      </c>
      <c r="L245" s="4">
        <v>4</v>
      </c>
      <c r="M245" s="4">
        <v>3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>
        <v>109410.5</v>
      </c>
      <c r="X245" s="4">
        <v>1</v>
      </c>
      <c r="Y245" s="4">
        <v>109410.5</v>
      </c>
      <c r="Z245" s="4"/>
      <c r="AA245" s="4"/>
      <c r="AB245" s="4"/>
    </row>
    <row r="246" spans="1:28">
      <c r="A246" s="4">
        <v>50</v>
      </c>
      <c r="B246" s="4">
        <v>0</v>
      </c>
      <c r="C246" s="4">
        <v>0</v>
      </c>
      <c r="D246" s="4">
        <v>1</v>
      </c>
      <c r="E246" s="4">
        <v>226</v>
      </c>
      <c r="F246" s="4">
        <f>ROUND(Source!AW240,O246)</f>
        <v>74078.539999999994</v>
      </c>
      <c r="G246" s="4" t="s">
        <v>139</v>
      </c>
      <c r="H246" s="4" t="s">
        <v>140</v>
      </c>
      <c r="I246" s="4"/>
      <c r="J246" s="4"/>
      <c r="K246" s="4">
        <v>226</v>
      </c>
      <c r="L246" s="4">
        <v>5</v>
      </c>
      <c r="M246" s="4">
        <v>3</v>
      </c>
      <c r="N246" s="4" t="s">
        <v>3</v>
      </c>
      <c r="O246" s="4">
        <v>2</v>
      </c>
      <c r="P246" s="4"/>
      <c r="Q246" s="4"/>
      <c r="R246" s="4"/>
      <c r="S246" s="4"/>
      <c r="T246" s="4"/>
      <c r="U246" s="4"/>
      <c r="V246" s="4"/>
      <c r="W246" s="4">
        <v>74078.539999999994</v>
      </c>
      <c r="X246" s="4">
        <v>1</v>
      </c>
      <c r="Y246" s="4">
        <v>74078.539999999994</v>
      </c>
      <c r="Z246" s="4"/>
      <c r="AA246" s="4"/>
      <c r="AB246" s="4"/>
    </row>
    <row r="247" spans="1:28">
      <c r="A247" s="4">
        <v>50</v>
      </c>
      <c r="B247" s="4">
        <v>0</v>
      </c>
      <c r="C247" s="4">
        <v>0</v>
      </c>
      <c r="D247" s="4">
        <v>1</v>
      </c>
      <c r="E247" s="4">
        <v>227</v>
      </c>
      <c r="F247" s="4">
        <f>ROUND(Source!AX240,O247)</f>
        <v>0</v>
      </c>
      <c r="G247" s="4" t="s">
        <v>141</v>
      </c>
      <c r="H247" s="4" t="s">
        <v>142</v>
      </c>
      <c r="I247" s="4"/>
      <c r="J247" s="4"/>
      <c r="K247" s="4">
        <v>227</v>
      </c>
      <c r="L247" s="4">
        <v>6</v>
      </c>
      <c r="M247" s="4">
        <v>3</v>
      </c>
      <c r="N247" s="4" t="s">
        <v>3</v>
      </c>
      <c r="O247" s="4">
        <v>2</v>
      </c>
      <c r="P247" s="4"/>
      <c r="Q247" s="4"/>
      <c r="R247" s="4"/>
      <c r="S247" s="4"/>
      <c r="T247" s="4"/>
      <c r="U247" s="4"/>
      <c r="V247" s="4"/>
      <c r="W247" s="4">
        <v>0</v>
      </c>
      <c r="X247" s="4">
        <v>1</v>
      </c>
      <c r="Y247" s="4">
        <v>0</v>
      </c>
      <c r="Z247" s="4"/>
      <c r="AA247" s="4"/>
      <c r="AB247" s="4"/>
    </row>
    <row r="248" spans="1:28">
      <c r="A248" s="4">
        <v>50</v>
      </c>
      <c r="B248" s="4">
        <v>0</v>
      </c>
      <c r="C248" s="4">
        <v>0</v>
      </c>
      <c r="D248" s="4">
        <v>1</v>
      </c>
      <c r="E248" s="4">
        <v>228</v>
      </c>
      <c r="F248" s="4">
        <f>ROUND(Source!AY240,O248)</f>
        <v>74078.539999999994</v>
      </c>
      <c r="G248" s="4" t="s">
        <v>143</v>
      </c>
      <c r="H248" s="4" t="s">
        <v>144</v>
      </c>
      <c r="I248" s="4"/>
      <c r="J248" s="4"/>
      <c r="K248" s="4">
        <v>228</v>
      </c>
      <c r="L248" s="4">
        <v>7</v>
      </c>
      <c r="M248" s="4">
        <v>3</v>
      </c>
      <c r="N248" s="4" t="s">
        <v>3</v>
      </c>
      <c r="O248" s="4">
        <v>2</v>
      </c>
      <c r="P248" s="4"/>
      <c r="Q248" s="4"/>
      <c r="R248" s="4"/>
      <c r="S248" s="4"/>
      <c r="T248" s="4"/>
      <c r="U248" s="4"/>
      <c r="V248" s="4"/>
      <c r="W248" s="4">
        <v>74078.539999999994</v>
      </c>
      <c r="X248" s="4">
        <v>1</v>
      </c>
      <c r="Y248" s="4">
        <v>74078.539999999994</v>
      </c>
      <c r="Z248" s="4"/>
      <c r="AA248" s="4"/>
      <c r="AB248" s="4"/>
    </row>
    <row r="249" spans="1:28">
      <c r="A249" s="4">
        <v>50</v>
      </c>
      <c r="B249" s="4">
        <v>0</v>
      </c>
      <c r="C249" s="4">
        <v>0</v>
      </c>
      <c r="D249" s="4">
        <v>1</v>
      </c>
      <c r="E249" s="4">
        <v>216</v>
      </c>
      <c r="F249" s="4">
        <f>ROUND(Source!AP240,O249)</f>
        <v>35331.96</v>
      </c>
      <c r="G249" s="4" t="s">
        <v>145</v>
      </c>
      <c r="H249" s="4" t="s">
        <v>146</v>
      </c>
      <c r="I249" s="4"/>
      <c r="J249" s="4"/>
      <c r="K249" s="4">
        <v>216</v>
      </c>
      <c r="L249" s="4">
        <v>8</v>
      </c>
      <c r="M249" s="4">
        <v>3</v>
      </c>
      <c r="N249" s="4" t="s">
        <v>3</v>
      </c>
      <c r="O249" s="4">
        <v>2</v>
      </c>
      <c r="P249" s="4"/>
      <c r="Q249" s="4"/>
      <c r="R249" s="4"/>
      <c r="S249" s="4"/>
      <c r="T249" s="4"/>
      <c r="U249" s="4"/>
      <c r="V249" s="4"/>
      <c r="W249" s="4">
        <v>35331.96</v>
      </c>
      <c r="X249" s="4">
        <v>1</v>
      </c>
      <c r="Y249" s="4">
        <v>35331.96</v>
      </c>
      <c r="Z249" s="4"/>
      <c r="AA249" s="4"/>
      <c r="AB249" s="4"/>
    </row>
    <row r="250" spans="1:28">
      <c r="A250" s="4">
        <v>50</v>
      </c>
      <c r="B250" s="4">
        <v>0</v>
      </c>
      <c r="C250" s="4">
        <v>0</v>
      </c>
      <c r="D250" s="4">
        <v>1</v>
      </c>
      <c r="E250" s="4">
        <v>223</v>
      </c>
      <c r="F250" s="4">
        <f>ROUND(Source!AQ240,O250)</f>
        <v>0</v>
      </c>
      <c r="G250" s="4" t="s">
        <v>147</v>
      </c>
      <c r="H250" s="4" t="s">
        <v>148</v>
      </c>
      <c r="I250" s="4"/>
      <c r="J250" s="4"/>
      <c r="K250" s="4">
        <v>223</v>
      </c>
      <c r="L250" s="4">
        <v>9</v>
      </c>
      <c r="M250" s="4">
        <v>3</v>
      </c>
      <c r="N250" s="4" t="s">
        <v>3</v>
      </c>
      <c r="O250" s="4">
        <v>2</v>
      </c>
      <c r="P250" s="4"/>
      <c r="Q250" s="4"/>
      <c r="R250" s="4"/>
      <c r="S250" s="4"/>
      <c r="T250" s="4"/>
      <c r="U250" s="4"/>
      <c r="V250" s="4"/>
      <c r="W250" s="4">
        <v>0</v>
      </c>
      <c r="X250" s="4">
        <v>1</v>
      </c>
      <c r="Y250" s="4">
        <v>0</v>
      </c>
      <c r="Z250" s="4"/>
      <c r="AA250" s="4"/>
      <c r="AB250" s="4"/>
    </row>
    <row r="251" spans="1:28">
      <c r="A251" s="4">
        <v>50</v>
      </c>
      <c r="B251" s="4">
        <v>0</v>
      </c>
      <c r="C251" s="4">
        <v>0</v>
      </c>
      <c r="D251" s="4">
        <v>1</v>
      </c>
      <c r="E251" s="4">
        <v>229</v>
      </c>
      <c r="F251" s="4">
        <f>ROUND(Source!AZ240,O251)</f>
        <v>35331.96</v>
      </c>
      <c r="G251" s="4" t="s">
        <v>149</v>
      </c>
      <c r="H251" s="4" t="s">
        <v>150</v>
      </c>
      <c r="I251" s="4"/>
      <c r="J251" s="4"/>
      <c r="K251" s="4">
        <v>229</v>
      </c>
      <c r="L251" s="4">
        <v>10</v>
      </c>
      <c r="M251" s="4">
        <v>3</v>
      </c>
      <c r="N251" s="4" t="s">
        <v>3</v>
      </c>
      <c r="O251" s="4">
        <v>2</v>
      </c>
      <c r="P251" s="4"/>
      <c r="Q251" s="4"/>
      <c r="R251" s="4"/>
      <c r="S251" s="4"/>
      <c r="T251" s="4"/>
      <c r="U251" s="4"/>
      <c r="V251" s="4"/>
      <c r="W251" s="4">
        <v>35331.96</v>
      </c>
      <c r="X251" s="4">
        <v>1</v>
      </c>
      <c r="Y251" s="4">
        <v>35331.96</v>
      </c>
      <c r="Z251" s="4"/>
      <c r="AA251" s="4"/>
      <c r="AB251" s="4"/>
    </row>
    <row r="252" spans="1:28">
      <c r="A252" s="4">
        <v>50</v>
      </c>
      <c r="B252" s="4">
        <v>0</v>
      </c>
      <c r="C252" s="4">
        <v>0</v>
      </c>
      <c r="D252" s="4">
        <v>1</v>
      </c>
      <c r="E252" s="4">
        <v>203</v>
      </c>
      <c r="F252" s="4">
        <f>ROUND(Source!Q240,O252)</f>
        <v>1868.18</v>
      </c>
      <c r="G252" s="4" t="s">
        <v>151</v>
      </c>
      <c r="H252" s="4" t="s">
        <v>152</v>
      </c>
      <c r="I252" s="4"/>
      <c r="J252" s="4"/>
      <c r="K252" s="4">
        <v>203</v>
      </c>
      <c r="L252" s="4">
        <v>11</v>
      </c>
      <c r="M252" s="4">
        <v>3</v>
      </c>
      <c r="N252" s="4" t="s">
        <v>3</v>
      </c>
      <c r="O252" s="4">
        <v>2</v>
      </c>
      <c r="P252" s="4"/>
      <c r="Q252" s="4"/>
      <c r="R252" s="4"/>
      <c r="S252" s="4"/>
      <c r="T252" s="4"/>
      <c r="U252" s="4"/>
      <c r="V252" s="4"/>
      <c r="W252" s="4">
        <v>1868.18</v>
      </c>
      <c r="X252" s="4">
        <v>1</v>
      </c>
      <c r="Y252" s="4">
        <v>1868.18</v>
      </c>
      <c r="Z252" s="4"/>
      <c r="AA252" s="4"/>
      <c r="AB252" s="4"/>
    </row>
    <row r="253" spans="1:28">
      <c r="A253" s="4">
        <v>50</v>
      </c>
      <c r="B253" s="4">
        <v>0</v>
      </c>
      <c r="C253" s="4">
        <v>0</v>
      </c>
      <c r="D253" s="4">
        <v>1</v>
      </c>
      <c r="E253" s="4">
        <v>231</v>
      </c>
      <c r="F253" s="4">
        <f>ROUND(Source!BB240,O253)</f>
        <v>0</v>
      </c>
      <c r="G253" s="4" t="s">
        <v>153</v>
      </c>
      <c r="H253" s="4" t="s">
        <v>154</v>
      </c>
      <c r="I253" s="4"/>
      <c r="J253" s="4"/>
      <c r="K253" s="4">
        <v>231</v>
      </c>
      <c r="L253" s="4">
        <v>12</v>
      </c>
      <c r="M253" s="4">
        <v>3</v>
      </c>
      <c r="N253" s="4" t="s">
        <v>3</v>
      </c>
      <c r="O253" s="4">
        <v>2</v>
      </c>
      <c r="P253" s="4"/>
      <c r="Q253" s="4"/>
      <c r="R253" s="4"/>
      <c r="S253" s="4"/>
      <c r="T253" s="4"/>
      <c r="U253" s="4"/>
      <c r="V253" s="4"/>
      <c r="W253" s="4">
        <v>0</v>
      </c>
      <c r="X253" s="4">
        <v>1</v>
      </c>
      <c r="Y253" s="4">
        <v>0</v>
      </c>
      <c r="Z253" s="4"/>
      <c r="AA253" s="4"/>
      <c r="AB253" s="4"/>
    </row>
    <row r="254" spans="1:28">
      <c r="A254" s="4">
        <v>50</v>
      </c>
      <c r="B254" s="4">
        <v>0</v>
      </c>
      <c r="C254" s="4">
        <v>0</v>
      </c>
      <c r="D254" s="4">
        <v>1</v>
      </c>
      <c r="E254" s="4">
        <v>204</v>
      </c>
      <c r="F254" s="4">
        <f>ROUND(Source!R240,O254)</f>
        <v>876.24</v>
      </c>
      <c r="G254" s="4" t="s">
        <v>155</v>
      </c>
      <c r="H254" s="4" t="s">
        <v>156</v>
      </c>
      <c r="I254" s="4"/>
      <c r="J254" s="4"/>
      <c r="K254" s="4">
        <v>204</v>
      </c>
      <c r="L254" s="4">
        <v>13</v>
      </c>
      <c r="M254" s="4">
        <v>3</v>
      </c>
      <c r="N254" s="4" t="s">
        <v>3</v>
      </c>
      <c r="O254" s="4">
        <v>2</v>
      </c>
      <c r="P254" s="4"/>
      <c r="Q254" s="4"/>
      <c r="R254" s="4"/>
      <c r="S254" s="4"/>
      <c r="T254" s="4"/>
      <c r="U254" s="4"/>
      <c r="V254" s="4"/>
      <c r="W254" s="4">
        <v>876.24</v>
      </c>
      <c r="X254" s="4">
        <v>1</v>
      </c>
      <c r="Y254" s="4">
        <v>876.24</v>
      </c>
      <c r="Z254" s="4"/>
      <c r="AA254" s="4"/>
      <c r="AB254" s="4"/>
    </row>
    <row r="255" spans="1:28">
      <c r="A255" s="4">
        <v>50</v>
      </c>
      <c r="B255" s="4">
        <v>0</v>
      </c>
      <c r="C255" s="4">
        <v>0</v>
      </c>
      <c r="D255" s="4">
        <v>1</v>
      </c>
      <c r="E255" s="4">
        <v>205</v>
      </c>
      <c r="F255" s="4">
        <f>ROUND(Source!S240,O255)</f>
        <v>139365.60999999999</v>
      </c>
      <c r="G255" s="4" t="s">
        <v>157</v>
      </c>
      <c r="H255" s="4" t="s">
        <v>158</v>
      </c>
      <c r="I255" s="4"/>
      <c r="J255" s="4"/>
      <c r="K255" s="4">
        <v>205</v>
      </c>
      <c r="L255" s="4">
        <v>14</v>
      </c>
      <c r="M255" s="4">
        <v>3</v>
      </c>
      <c r="N255" s="4" t="s">
        <v>3</v>
      </c>
      <c r="O255" s="4">
        <v>2</v>
      </c>
      <c r="P255" s="4"/>
      <c r="Q255" s="4"/>
      <c r="R255" s="4"/>
      <c r="S255" s="4"/>
      <c r="T255" s="4"/>
      <c r="U255" s="4"/>
      <c r="V255" s="4"/>
      <c r="W255" s="4">
        <v>139365.60999999999</v>
      </c>
      <c r="X255" s="4">
        <v>1</v>
      </c>
      <c r="Y255" s="4">
        <v>139365.60999999999</v>
      </c>
      <c r="Z255" s="4"/>
      <c r="AA255" s="4"/>
      <c r="AB255" s="4"/>
    </row>
    <row r="256" spans="1:28">
      <c r="A256" s="4">
        <v>50</v>
      </c>
      <c r="B256" s="4">
        <v>0</v>
      </c>
      <c r="C256" s="4">
        <v>0</v>
      </c>
      <c r="D256" s="4">
        <v>1</v>
      </c>
      <c r="E256" s="4">
        <v>232</v>
      </c>
      <c r="F256" s="4">
        <f>ROUND(Source!BC240,O256)</f>
        <v>0</v>
      </c>
      <c r="G256" s="4" t="s">
        <v>159</v>
      </c>
      <c r="H256" s="4" t="s">
        <v>160</v>
      </c>
      <c r="I256" s="4"/>
      <c r="J256" s="4"/>
      <c r="K256" s="4">
        <v>232</v>
      </c>
      <c r="L256" s="4">
        <v>15</v>
      </c>
      <c r="M256" s="4">
        <v>3</v>
      </c>
      <c r="N256" s="4" t="s">
        <v>3</v>
      </c>
      <c r="O256" s="4">
        <v>2</v>
      </c>
      <c r="P256" s="4"/>
      <c r="Q256" s="4"/>
      <c r="R256" s="4"/>
      <c r="S256" s="4"/>
      <c r="T256" s="4"/>
      <c r="U256" s="4"/>
      <c r="V256" s="4"/>
      <c r="W256" s="4">
        <v>0</v>
      </c>
      <c r="X256" s="4">
        <v>1</v>
      </c>
      <c r="Y256" s="4">
        <v>0</v>
      </c>
      <c r="Z256" s="4"/>
      <c r="AA256" s="4"/>
      <c r="AB256" s="4"/>
    </row>
    <row r="257" spans="1:206">
      <c r="A257" s="4">
        <v>50</v>
      </c>
      <c r="B257" s="4">
        <v>0</v>
      </c>
      <c r="C257" s="4">
        <v>0</v>
      </c>
      <c r="D257" s="4">
        <v>1</v>
      </c>
      <c r="E257" s="4">
        <v>214</v>
      </c>
      <c r="F257" s="4">
        <f>ROUND(Source!AS240,O257)</f>
        <v>37206.589999999997</v>
      </c>
      <c r="G257" s="4" t="s">
        <v>161</v>
      </c>
      <c r="H257" s="4" t="s">
        <v>162</v>
      </c>
      <c r="I257" s="4"/>
      <c r="J257" s="4"/>
      <c r="K257" s="4">
        <v>214</v>
      </c>
      <c r="L257" s="4">
        <v>16</v>
      </c>
      <c r="M257" s="4">
        <v>3</v>
      </c>
      <c r="N257" s="4" t="s">
        <v>3</v>
      </c>
      <c r="O257" s="4">
        <v>2</v>
      </c>
      <c r="P257" s="4"/>
      <c r="Q257" s="4"/>
      <c r="R257" s="4"/>
      <c r="S257" s="4"/>
      <c r="T257" s="4"/>
      <c r="U257" s="4"/>
      <c r="V257" s="4"/>
      <c r="W257" s="4">
        <v>37206.589999999997</v>
      </c>
      <c r="X257" s="4">
        <v>1</v>
      </c>
      <c r="Y257" s="4">
        <v>37206.589999999997</v>
      </c>
      <c r="Z257" s="4"/>
      <c r="AA257" s="4"/>
      <c r="AB257" s="4"/>
    </row>
    <row r="258" spans="1:206">
      <c r="A258" s="4">
        <v>50</v>
      </c>
      <c r="B258" s="4">
        <v>0</v>
      </c>
      <c r="C258" s="4">
        <v>0</v>
      </c>
      <c r="D258" s="4">
        <v>1</v>
      </c>
      <c r="E258" s="4">
        <v>215</v>
      </c>
      <c r="F258" s="4">
        <f>ROUND(Source!AT240,O258)</f>
        <v>216050.23</v>
      </c>
      <c r="G258" s="4" t="s">
        <v>163</v>
      </c>
      <c r="H258" s="4" t="s">
        <v>164</v>
      </c>
      <c r="I258" s="4"/>
      <c r="J258" s="4"/>
      <c r="K258" s="4">
        <v>215</v>
      </c>
      <c r="L258" s="4">
        <v>17</v>
      </c>
      <c r="M258" s="4">
        <v>3</v>
      </c>
      <c r="N258" s="4" t="s">
        <v>3</v>
      </c>
      <c r="O258" s="4">
        <v>2</v>
      </c>
      <c r="P258" s="4"/>
      <c r="Q258" s="4"/>
      <c r="R258" s="4"/>
      <c r="S258" s="4"/>
      <c r="T258" s="4"/>
      <c r="U258" s="4"/>
      <c r="V258" s="4"/>
      <c r="W258" s="4">
        <v>216050.23</v>
      </c>
      <c r="X258" s="4">
        <v>1</v>
      </c>
      <c r="Y258" s="4">
        <v>216050.23</v>
      </c>
      <c r="Z258" s="4"/>
      <c r="AA258" s="4"/>
      <c r="AB258" s="4"/>
    </row>
    <row r="259" spans="1:206">
      <c r="A259" s="4">
        <v>50</v>
      </c>
      <c r="B259" s="4">
        <v>0</v>
      </c>
      <c r="C259" s="4">
        <v>0</v>
      </c>
      <c r="D259" s="4">
        <v>1</v>
      </c>
      <c r="E259" s="4">
        <v>217</v>
      </c>
      <c r="F259" s="4">
        <f>ROUND(Source!AU240,O259)</f>
        <v>144556.95000000001</v>
      </c>
      <c r="G259" s="4" t="s">
        <v>165</v>
      </c>
      <c r="H259" s="4" t="s">
        <v>166</v>
      </c>
      <c r="I259" s="4"/>
      <c r="J259" s="4"/>
      <c r="K259" s="4">
        <v>217</v>
      </c>
      <c r="L259" s="4">
        <v>18</v>
      </c>
      <c r="M259" s="4">
        <v>3</v>
      </c>
      <c r="N259" s="4" t="s">
        <v>3</v>
      </c>
      <c r="O259" s="4">
        <v>2</v>
      </c>
      <c r="P259" s="4"/>
      <c r="Q259" s="4"/>
      <c r="R259" s="4"/>
      <c r="S259" s="4"/>
      <c r="T259" s="4"/>
      <c r="U259" s="4"/>
      <c r="V259" s="4"/>
      <c r="W259" s="4">
        <v>144556.95000000001</v>
      </c>
      <c r="X259" s="4">
        <v>1</v>
      </c>
      <c r="Y259" s="4">
        <v>144556.95000000001</v>
      </c>
      <c r="Z259" s="4"/>
      <c r="AA259" s="4"/>
      <c r="AB259" s="4"/>
    </row>
    <row r="260" spans="1:206">
      <c r="A260" s="4">
        <v>50</v>
      </c>
      <c r="B260" s="4">
        <v>0</v>
      </c>
      <c r="C260" s="4">
        <v>0</v>
      </c>
      <c r="D260" s="4">
        <v>1</v>
      </c>
      <c r="E260" s="4">
        <v>230</v>
      </c>
      <c r="F260" s="4">
        <f>ROUND(Source!BA240,O260)</f>
        <v>0</v>
      </c>
      <c r="G260" s="4" t="s">
        <v>167</v>
      </c>
      <c r="H260" s="4" t="s">
        <v>168</v>
      </c>
      <c r="I260" s="4"/>
      <c r="J260" s="4"/>
      <c r="K260" s="4">
        <v>230</v>
      </c>
      <c r="L260" s="4">
        <v>19</v>
      </c>
      <c r="M260" s="4">
        <v>3</v>
      </c>
      <c r="N260" s="4" t="s">
        <v>3</v>
      </c>
      <c r="O260" s="4">
        <v>2</v>
      </c>
      <c r="P260" s="4"/>
      <c r="Q260" s="4"/>
      <c r="R260" s="4"/>
      <c r="S260" s="4"/>
      <c r="T260" s="4"/>
      <c r="U260" s="4"/>
      <c r="V260" s="4"/>
      <c r="W260" s="4">
        <v>0</v>
      </c>
      <c r="X260" s="4">
        <v>1</v>
      </c>
      <c r="Y260" s="4">
        <v>0</v>
      </c>
      <c r="Z260" s="4"/>
      <c r="AA260" s="4"/>
      <c r="AB260" s="4"/>
    </row>
    <row r="261" spans="1:206">
      <c r="A261" s="4">
        <v>50</v>
      </c>
      <c r="B261" s="4">
        <v>0</v>
      </c>
      <c r="C261" s="4">
        <v>0</v>
      </c>
      <c r="D261" s="4">
        <v>1</v>
      </c>
      <c r="E261" s="4">
        <v>206</v>
      </c>
      <c r="F261" s="4">
        <f>ROUND(Source!T240,O261)</f>
        <v>0</v>
      </c>
      <c r="G261" s="4" t="s">
        <v>169</v>
      </c>
      <c r="H261" s="4" t="s">
        <v>170</v>
      </c>
      <c r="I261" s="4"/>
      <c r="J261" s="4"/>
      <c r="K261" s="4">
        <v>206</v>
      </c>
      <c r="L261" s="4">
        <v>20</v>
      </c>
      <c r="M261" s="4">
        <v>3</v>
      </c>
      <c r="N261" s="4" t="s">
        <v>3</v>
      </c>
      <c r="O261" s="4">
        <v>2</v>
      </c>
      <c r="P261" s="4"/>
      <c r="Q261" s="4"/>
      <c r="R261" s="4"/>
      <c r="S261" s="4"/>
      <c r="T261" s="4"/>
      <c r="U261" s="4"/>
      <c r="V261" s="4"/>
      <c r="W261" s="4">
        <v>0</v>
      </c>
      <c r="X261" s="4">
        <v>1</v>
      </c>
      <c r="Y261" s="4">
        <v>0</v>
      </c>
      <c r="Z261" s="4"/>
      <c r="AA261" s="4"/>
      <c r="AB261" s="4"/>
    </row>
    <row r="262" spans="1:206">
      <c r="A262" s="4">
        <v>50</v>
      </c>
      <c r="B262" s="4">
        <v>0</v>
      </c>
      <c r="C262" s="4">
        <v>0</v>
      </c>
      <c r="D262" s="4">
        <v>1</v>
      </c>
      <c r="E262" s="4">
        <v>207</v>
      </c>
      <c r="F262" s="4">
        <f>Source!U240</f>
        <v>177.54845579999994</v>
      </c>
      <c r="G262" s="4" t="s">
        <v>171</v>
      </c>
      <c r="H262" s="4" t="s">
        <v>172</v>
      </c>
      <c r="I262" s="4"/>
      <c r="J262" s="4"/>
      <c r="K262" s="4">
        <v>207</v>
      </c>
      <c r="L262" s="4">
        <v>21</v>
      </c>
      <c r="M262" s="4">
        <v>3</v>
      </c>
      <c r="N262" s="4" t="s">
        <v>3</v>
      </c>
      <c r="O262" s="4">
        <v>-1</v>
      </c>
      <c r="P262" s="4"/>
      <c r="Q262" s="4"/>
      <c r="R262" s="4"/>
      <c r="S262" s="4"/>
      <c r="T262" s="4"/>
      <c r="U262" s="4"/>
      <c r="V262" s="4"/>
      <c r="W262" s="4">
        <v>177.54845579999997</v>
      </c>
      <c r="X262" s="4">
        <v>1</v>
      </c>
      <c r="Y262" s="4">
        <v>177.54845579999997</v>
      </c>
      <c r="Z262" s="4"/>
      <c r="AA262" s="4"/>
      <c r="AB262" s="4"/>
    </row>
    <row r="263" spans="1:206">
      <c r="A263" s="4">
        <v>50</v>
      </c>
      <c r="B263" s="4">
        <v>0</v>
      </c>
      <c r="C263" s="4">
        <v>0</v>
      </c>
      <c r="D263" s="4">
        <v>1</v>
      </c>
      <c r="E263" s="4">
        <v>208</v>
      </c>
      <c r="F263" s="4">
        <f>Source!V240</f>
        <v>0</v>
      </c>
      <c r="G263" s="4" t="s">
        <v>173</v>
      </c>
      <c r="H263" s="4" t="s">
        <v>174</v>
      </c>
      <c r="I263" s="4"/>
      <c r="J263" s="4"/>
      <c r="K263" s="4">
        <v>208</v>
      </c>
      <c r="L263" s="4">
        <v>22</v>
      </c>
      <c r="M263" s="4">
        <v>3</v>
      </c>
      <c r="N263" s="4" t="s">
        <v>3</v>
      </c>
      <c r="O263" s="4">
        <v>-1</v>
      </c>
      <c r="P263" s="4"/>
      <c r="Q263" s="4"/>
      <c r="R263" s="4"/>
      <c r="S263" s="4"/>
      <c r="T263" s="4"/>
      <c r="U263" s="4"/>
      <c r="V263" s="4"/>
      <c r="W263" s="4">
        <v>0</v>
      </c>
      <c r="X263" s="4">
        <v>1</v>
      </c>
      <c r="Y263" s="4">
        <v>0</v>
      </c>
      <c r="Z263" s="4"/>
      <c r="AA263" s="4"/>
      <c r="AB263" s="4"/>
    </row>
    <row r="264" spans="1:206">
      <c r="A264" s="4">
        <v>50</v>
      </c>
      <c r="B264" s="4">
        <v>0</v>
      </c>
      <c r="C264" s="4">
        <v>0</v>
      </c>
      <c r="D264" s="4">
        <v>1</v>
      </c>
      <c r="E264" s="4">
        <v>209</v>
      </c>
      <c r="F264" s="4">
        <f>ROUND(Source!W240,O264)</f>
        <v>0</v>
      </c>
      <c r="G264" s="4" t="s">
        <v>175</v>
      </c>
      <c r="H264" s="4" t="s">
        <v>176</v>
      </c>
      <c r="I264" s="4"/>
      <c r="J264" s="4"/>
      <c r="K264" s="4">
        <v>209</v>
      </c>
      <c r="L264" s="4">
        <v>23</v>
      </c>
      <c r="M264" s="4">
        <v>3</v>
      </c>
      <c r="N264" s="4" t="s">
        <v>3</v>
      </c>
      <c r="O264" s="4">
        <v>2</v>
      </c>
      <c r="P264" s="4"/>
      <c r="Q264" s="4"/>
      <c r="R264" s="4"/>
      <c r="S264" s="4"/>
      <c r="T264" s="4"/>
      <c r="U264" s="4"/>
      <c r="V264" s="4"/>
      <c r="W264" s="4">
        <v>0</v>
      </c>
      <c r="X264" s="4">
        <v>1</v>
      </c>
      <c r="Y264" s="4">
        <v>0</v>
      </c>
      <c r="Z264" s="4"/>
      <c r="AA264" s="4"/>
      <c r="AB264" s="4"/>
    </row>
    <row r="265" spans="1:206">
      <c r="A265" s="4">
        <v>50</v>
      </c>
      <c r="B265" s="4">
        <v>0</v>
      </c>
      <c r="C265" s="4">
        <v>0</v>
      </c>
      <c r="D265" s="4">
        <v>1</v>
      </c>
      <c r="E265" s="4">
        <v>233</v>
      </c>
      <c r="F265" s="4">
        <f>ROUND(Source!BD240,O265)</f>
        <v>0</v>
      </c>
      <c r="G265" s="4" t="s">
        <v>177</v>
      </c>
      <c r="H265" s="4" t="s">
        <v>178</v>
      </c>
      <c r="I265" s="4"/>
      <c r="J265" s="4"/>
      <c r="K265" s="4">
        <v>233</v>
      </c>
      <c r="L265" s="4">
        <v>24</v>
      </c>
      <c r="M265" s="4">
        <v>3</v>
      </c>
      <c r="N265" s="4" t="s">
        <v>3</v>
      </c>
      <c r="O265" s="4">
        <v>2</v>
      </c>
      <c r="P265" s="4"/>
      <c r="Q265" s="4"/>
      <c r="R265" s="4"/>
      <c r="S265" s="4"/>
      <c r="T265" s="4"/>
      <c r="U265" s="4"/>
      <c r="V265" s="4"/>
      <c r="W265" s="4">
        <v>0</v>
      </c>
      <c r="X265" s="4">
        <v>1</v>
      </c>
      <c r="Y265" s="4">
        <v>0</v>
      </c>
      <c r="Z265" s="4"/>
      <c r="AA265" s="4"/>
      <c r="AB265" s="4"/>
    </row>
    <row r="266" spans="1:206">
      <c r="A266" s="4">
        <v>50</v>
      </c>
      <c r="B266" s="4">
        <v>0</v>
      </c>
      <c r="C266" s="4">
        <v>0</v>
      </c>
      <c r="D266" s="4">
        <v>1</v>
      </c>
      <c r="E266" s="4">
        <v>210</v>
      </c>
      <c r="F266" s="4">
        <f>ROUND(Source!X240,O266)</f>
        <v>120773.75</v>
      </c>
      <c r="G266" s="4" t="s">
        <v>179</v>
      </c>
      <c r="H266" s="4" t="s">
        <v>180</v>
      </c>
      <c r="I266" s="4"/>
      <c r="J266" s="4"/>
      <c r="K266" s="4">
        <v>210</v>
      </c>
      <c r="L266" s="4">
        <v>25</v>
      </c>
      <c r="M266" s="4">
        <v>3</v>
      </c>
      <c r="N266" s="4" t="s">
        <v>3</v>
      </c>
      <c r="O266" s="4">
        <v>2</v>
      </c>
      <c r="P266" s="4"/>
      <c r="Q266" s="4"/>
      <c r="R266" s="4"/>
      <c r="S266" s="4"/>
      <c r="T266" s="4"/>
      <c r="U266" s="4"/>
      <c r="V266" s="4"/>
      <c r="W266" s="4">
        <v>120773.75</v>
      </c>
      <c r="X266" s="4">
        <v>1</v>
      </c>
      <c r="Y266" s="4">
        <v>120773.75</v>
      </c>
      <c r="Z266" s="4"/>
      <c r="AA266" s="4"/>
      <c r="AB266" s="4"/>
    </row>
    <row r="267" spans="1:206">
      <c r="A267" s="4">
        <v>50</v>
      </c>
      <c r="B267" s="4">
        <v>0</v>
      </c>
      <c r="C267" s="4">
        <v>0</v>
      </c>
      <c r="D267" s="4">
        <v>1</v>
      </c>
      <c r="E267" s="4">
        <v>211</v>
      </c>
      <c r="F267" s="4">
        <f>ROUND(Source!Y240,O267)</f>
        <v>61727.69</v>
      </c>
      <c r="G267" s="4" t="s">
        <v>181</v>
      </c>
      <c r="H267" s="4" t="s">
        <v>182</v>
      </c>
      <c r="I267" s="4"/>
      <c r="J267" s="4"/>
      <c r="K267" s="4">
        <v>211</v>
      </c>
      <c r="L267" s="4">
        <v>26</v>
      </c>
      <c r="M267" s="4">
        <v>3</v>
      </c>
      <c r="N267" s="4" t="s">
        <v>3</v>
      </c>
      <c r="O267" s="4">
        <v>2</v>
      </c>
      <c r="P267" s="4"/>
      <c r="Q267" s="4"/>
      <c r="R267" s="4"/>
      <c r="S267" s="4"/>
      <c r="T267" s="4"/>
      <c r="U267" s="4"/>
      <c r="V267" s="4"/>
      <c r="W267" s="4">
        <v>61727.69</v>
      </c>
      <c r="X267" s="4">
        <v>1</v>
      </c>
      <c r="Y267" s="4">
        <v>61727.69</v>
      </c>
      <c r="Z267" s="4"/>
      <c r="AA267" s="4"/>
      <c r="AB267" s="4"/>
    </row>
    <row r="268" spans="1:206">
      <c r="A268" s="4">
        <v>50</v>
      </c>
      <c r="B268" s="4">
        <v>0</v>
      </c>
      <c r="C268" s="4">
        <v>0</v>
      </c>
      <c r="D268" s="4">
        <v>1</v>
      </c>
      <c r="E268" s="4">
        <v>224</v>
      </c>
      <c r="F268" s="4">
        <f>ROUND(Source!AR240,O268)</f>
        <v>433145.73</v>
      </c>
      <c r="G268" s="4" t="s">
        <v>183</v>
      </c>
      <c r="H268" s="4" t="s">
        <v>184</v>
      </c>
      <c r="I268" s="4"/>
      <c r="J268" s="4"/>
      <c r="K268" s="4">
        <v>224</v>
      </c>
      <c r="L268" s="4">
        <v>27</v>
      </c>
      <c r="M268" s="4">
        <v>3</v>
      </c>
      <c r="N268" s="4" t="s">
        <v>3</v>
      </c>
      <c r="O268" s="4">
        <v>2</v>
      </c>
      <c r="P268" s="4"/>
      <c r="Q268" s="4"/>
      <c r="R268" s="4"/>
      <c r="S268" s="4"/>
      <c r="T268" s="4"/>
      <c r="U268" s="4"/>
      <c r="V268" s="4"/>
      <c r="W268" s="4">
        <v>433145.73</v>
      </c>
      <c r="X268" s="4">
        <v>1</v>
      </c>
      <c r="Y268" s="4">
        <v>433145.73</v>
      </c>
      <c r="Z268" s="4"/>
      <c r="AA268" s="4"/>
      <c r="AB268" s="4"/>
    </row>
    <row r="269" spans="1:206">
      <c r="A269" s="4">
        <v>50</v>
      </c>
      <c r="B269" s="4">
        <v>1</v>
      </c>
      <c r="C269" s="4">
        <v>0</v>
      </c>
      <c r="D269" s="4">
        <v>2</v>
      </c>
      <c r="E269" s="4">
        <v>0</v>
      </c>
      <c r="F269" s="4">
        <f>ROUND(F268*0.22,O269)</f>
        <v>95292.06</v>
      </c>
      <c r="G269" s="4" t="s">
        <v>415</v>
      </c>
      <c r="H269" s="4" t="s">
        <v>416</v>
      </c>
      <c r="I269" s="4"/>
      <c r="J269" s="4"/>
      <c r="K269" s="4">
        <v>212</v>
      </c>
      <c r="L269" s="4">
        <v>28</v>
      </c>
      <c r="M269" s="4">
        <v>0</v>
      </c>
      <c r="N269" s="4" t="s">
        <v>3</v>
      </c>
      <c r="O269" s="4">
        <v>2</v>
      </c>
      <c r="P269" s="4"/>
      <c r="Q269" s="4"/>
      <c r="R269" s="4"/>
      <c r="S269" s="4"/>
      <c r="T269" s="4"/>
      <c r="U269" s="4"/>
      <c r="V269" s="4"/>
      <c r="W269" s="4">
        <v>95292.06</v>
      </c>
      <c r="X269" s="4">
        <v>1</v>
      </c>
      <c r="Y269" s="4">
        <v>95292.06</v>
      </c>
      <c r="Z269" s="4"/>
      <c r="AA269" s="4"/>
      <c r="AB269" s="4"/>
    </row>
    <row r="270" spans="1:206">
      <c r="A270" s="4">
        <v>50</v>
      </c>
      <c r="B270" s="4">
        <v>1</v>
      </c>
      <c r="C270" s="4">
        <v>0</v>
      </c>
      <c r="D270" s="4">
        <v>2</v>
      </c>
      <c r="E270" s="4">
        <v>0</v>
      </c>
      <c r="F270" s="4">
        <f>ROUND(F268+F269,O270)</f>
        <v>528437.79</v>
      </c>
      <c r="G270" s="4" t="s">
        <v>417</v>
      </c>
      <c r="H270" s="4" t="s">
        <v>183</v>
      </c>
      <c r="I270" s="4"/>
      <c r="J270" s="4"/>
      <c r="K270" s="4">
        <v>212</v>
      </c>
      <c r="L270" s="4">
        <v>29</v>
      </c>
      <c r="M270" s="4">
        <v>0</v>
      </c>
      <c r="N270" s="4" t="s">
        <v>3</v>
      </c>
      <c r="O270" s="4">
        <v>2</v>
      </c>
      <c r="P270" s="4"/>
      <c r="Q270" s="4"/>
      <c r="R270" s="4"/>
      <c r="S270" s="4"/>
      <c r="T270" s="4"/>
      <c r="U270" s="4"/>
      <c r="V270" s="4"/>
      <c r="W270" s="4">
        <v>528437.79</v>
      </c>
      <c r="X270" s="4">
        <v>1</v>
      </c>
      <c r="Y270" s="4">
        <v>528437.79</v>
      </c>
      <c r="Z270" s="4"/>
      <c r="AA270" s="4"/>
      <c r="AB270" s="4"/>
    </row>
    <row r="272" spans="1:206">
      <c r="A272" s="2">
        <v>51</v>
      </c>
      <c r="B272" s="2">
        <f>B12</f>
        <v>318</v>
      </c>
      <c r="C272" s="2">
        <f>A12</f>
        <v>1</v>
      </c>
      <c r="D272" s="2">
        <f>ROW(A12)</f>
        <v>12</v>
      </c>
      <c r="E272" s="2"/>
      <c r="F272" s="2" t="str">
        <f>IF(F12&lt;&gt;"",F12,"")</f>
        <v>Новый объект</v>
      </c>
      <c r="G272" s="2" t="str">
        <f>IF(G12&lt;&gt;"",G12,"")</f>
        <v>Электромонтажные работы на объекте: г.Москва, ул. Большая Пироговская д.17+</v>
      </c>
      <c r="H272" s="2">
        <v>0</v>
      </c>
      <c r="I272" s="2"/>
      <c r="J272" s="2"/>
      <c r="K272" s="2"/>
      <c r="L272" s="2"/>
      <c r="M272" s="2"/>
      <c r="N272" s="2"/>
      <c r="O272" s="2">
        <f t="shared" ref="O272:T272" si="219">ROUND(O240,2)</f>
        <v>250644.29</v>
      </c>
      <c r="P272" s="2">
        <f t="shared" si="219"/>
        <v>109410.5</v>
      </c>
      <c r="Q272" s="2">
        <f t="shared" si="219"/>
        <v>1868.18</v>
      </c>
      <c r="R272" s="2">
        <f t="shared" si="219"/>
        <v>876.24</v>
      </c>
      <c r="S272" s="2">
        <f t="shared" si="219"/>
        <v>139365.60999999999</v>
      </c>
      <c r="T272" s="2">
        <f t="shared" si="219"/>
        <v>0</v>
      </c>
      <c r="U272" s="2">
        <f>U240</f>
        <v>177.54845579999994</v>
      </c>
      <c r="V272" s="2">
        <f>V240</f>
        <v>0</v>
      </c>
      <c r="W272" s="2">
        <f>ROUND(W240,2)</f>
        <v>0</v>
      </c>
      <c r="X272" s="2">
        <f>ROUND(X240,2)</f>
        <v>120773.75</v>
      </c>
      <c r="Y272" s="2">
        <f>ROUND(Y240,2)</f>
        <v>61727.69</v>
      </c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>
        <f t="shared" ref="AO272:BD272" si="220">ROUND(AO240,2)</f>
        <v>0</v>
      </c>
      <c r="AP272" s="2">
        <f t="shared" si="220"/>
        <v>35331.96</v>
      </c>
      <c r="AQ272" s="2">
        <f t="shared" si="220"/>
        <v>0</v>
      </c>
      <c r="AR272" s="2">
        <f t="shared" si="220"/>
        <v>433145.73</v>
      </c>
      <c r="AS272" s="2">
        <f t="shared" si="220"/>
        <v>37206.589999999997</v>
      </c>
      <c r="AT272" s="2">
        <f t="shared" si="220"/>
        <v>216050.23</v>
      </c>
      <c r="AU272" s="2">
        <f t="shared" si="220"/>
        <v>144556.95000000001</v>
      </c>
      <c r="AV272" s="2">
        <f t="shared" si="220"/>
        <v>109410.5</v>
      </c>
      <c r="AW272" s="2">
        <f t="shared" si="220"/>
        <v>74078.539999999994</v>
      </c>
      <c r="AX272" s="2">
        <f t="shared" si="220"/>
        <v>0</v>
      </c>
      <c r="AY272" s="2">
        <f t="shared" si="220"/>
        <v>74078.539999999994</v>
      </c>
      <c r="AZ272" s="2">
        <f t="shared" si="220"/>
        <v>35331.96</v>
      </c>
      <c r="BA272" s="2">
        <f t="shared" si="220"/>
        <v>0</v>
      </c>
      <c r="BB272" s="2">
        <f t="shared" si="220"/>
        <v>0</v>
      </c>
      <c r="BC272" s="2">
        <f t="shared" si="220"/>
        <v>0</v>
      </c>
      <c r="BD272" s="2">
        <f t="shared" si="220"/>
        <v>0</v>
      </c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>
        <v>0</v>
      </c>
    </row>
    <row r="274" spans="1:28">
      <c r="A274" s="4">
        <v>50</v>
      </c>
      <c r="B274" s="4">
        <v>0</v>
      </c>
      <c r="C274" s="4">
        <v>0</v>
      </c>
      <c r="D274" s="4">
        <v>1</v>
      </c>
      <c r="E274" s="4">
        <v>201</v>
      </c>
      <c r="F274" s="4">
        <f>ROUND(Source!O272,O274)</f>
        <v>250644.29</v>
      </c>
      <c r="G274" s="4" t="s">
        <v>131</v>
      </c>
      <c r="H274" s="4" t="s">
        <v>132</v>
      </c>
      <c r="I274" s="4"/>
      <c r="J274" s="4"/>
      <c r="K274" s="4">
        <v>201</v>
      </c>
      <c r="L274" s="4">
        <v>1</v>
      </c>
      <c r="M274" s="4">
        <v>3</v>
      </c>
      <c r="N274" s="4" t="s">
        <v>3</v>
      </c>
      <c r="O274" s="4">
        <v>2</v>
      </c>
      <c r="P274" s="4"/>
      <c r="Q274" s="4"/>
      <c r="R274" s="4"/>
      <c r="S274" s="4"/>
      <c r="T274" s="4"/>
      <c r="U274" s="4"/>
      <c r="V274" s="4"/>
      <c r="W274" s="4">
        <v>250644.29</v>
      </c>
      <c r="X274" s="4">
        <v>1</v>
      </c>
      <c r="Y274" s="4">
        <v>250644.29</v>
      </c>
      <c r="Z274" s="4"/>
      <c r="AA274" s="4"/>
      <c r="AB274" s="4"/>
    </row>
    <row r="275" spans="1:28">
      <c r="A275" s="4">
        <v>50</v>
      </c>
      <c r="B275" s="4">
        <v>0</v>
      </c>
      <c r="C275" s="4">
        <v>0</v>
      </c>
      <c r="D275" s="4">
        <v>1</v>
      </c>
      <c r="E275" s="4">
        <v>202</v>
      </c>
      <c r="F275" s="4">
        <f>ROUND(Source!P272,O275)</f>
        <v>109410.5</v>
      </c>
      <c r="G275" s="4" t="s">
        <v>133</v>
      </c>
      <c r="H275" s="4" t="s">
        <v>134</v>
      </c>
      <c r="I275" s="4"/>
      <c r="J275" s="4"/>
      <c r="K275" s="4">
        <v>202</v>
      </c>
      <c r="L275" s="4">
        <v>2</v>
      </c>
      <c r="M275" s="4">
        <v>3</v>
      </c>
      <c r="N275" s="4" t="s">
        <v>3</v>
      </c>
      <c r="O275" s="4">
        <v>2</v>
      </c>
      <c r="P275" s="4"/>
      <c r="Q275" s="4"/>
      <c r="R275" s="4"/>
      <c r="S275" s="4"/>
      <c r="T275" s="4"/>
      <c r="U275" s="4"/>
      <c r="V275" s="4"/>
      <c r="W275" s="4">
        <v>109410.5</v>
      </c>
      <c r="X275" s="4">
        <v>1</v>
      </c>
      <c r="Y275" s="4">
        <v>109410.5</v>
      </c>
      <c r="Z275" s="4"/>
      <c r="AA275" s="4"/>
      <c r="AB275" s="4"/>
    </row>
    <row r="276" spans="1:28">
      <c r="A276" s="4">
        <v>50</v>
      </c>
      <c r="B276" s="4">
        <v>0</v>
      </c>
      <c r="C276" s="4">
        <v>0</v>
      </c>
      <c r="D276" s="4">
        <v>1</v>
      </c>
      <c r="E276" s="4">
        <v>222</v>
      </c>
      <c r="F276" s="4">
        <f>ROUND(Source!AO272,O276)</f>
        <v>0</v>
      </c>
      <c r="G276" s="4" t="s">
        <v>135</v>
      </c>
      <c r="H276" s="4" t="s">
        <v>136</v>
      </c>
      <c r="I276" s="4"/>
      <c r="J276" s="4"/>
      <c r="K276" s="4">
        <v>222</v>
      </c>
      <c r="L276" s="4">
        <v>3</v>
      </c>
      <c r="M276" s="4">
        <v>3</v>
      </c>
      <c r="N276" s="4" t="s">
        <v>3</v>
      </c>
      <c r="O276" s="4">
        <v>2</v>
      </c>
      <c r="P276" s="4"/>
      <c r="Q276" s="4"/>
      <c r="R276" s="4"/>
      <c r="S276" s="4"/>
      <c r="T276" s="4"/>
      <c r="U276" s="4"/>
      <c r="V276" s="4"/>
      <c r="W276" s="4">
        <v>0</v>
      </c>
      <c r="X276" s="4">
        <v>1</v>
      </c>
      <c r="Y276" s="4">
        <v>0</v>
      </c>
      <c r="Z276" s="4"/>
      <c r="AA276" s="4"/>
      <c r="AB276" s="4"/>
    </row>
    <row r="277" spans="1:28">
      <c r="A277" s="4">
        <v>50</v>
      </c>
      <c r="B277" s="4">
        <v>0</v>
      </c>
      <c r="C277" s="4">
        <v>0</v>
      </c>
      <c r="D277" s="4">
        <v>1</v>
      </c>
      <c r="E277" s="4">
        <v>225</v>
      </c>
      <c r="F277" s="4">
        <f>ROUND(Source!AV272,O277)</f>
        <v>109410.5</v>
      </c>
      <c r="G277" s="4" t="s">
        <v>137</v>
      </c>
      <c r="H277" s="4" t="s">
        <v>138</v>
      </c>
      <c r="I277" s="4"/>
      <c r="J277" s="4"/>
      <c r="K277" s="4">
        <v>225</v>
      </c>
      <c r="L277" s="4">
        <v>4</v>
      </c>
      <c r="M277" s="4">
        <v>3</v>
      </c>
      <c r="N277" s="4" t="s">
        <v>3</v>
      </c>
      <c r="O277" s="4">
        <v>2</v>
      </c>
      <c r="P277" s="4"/>
      <c r="Q277" s="4"/>
      <c r="R277" s="4"/>
      <c r="S277" s="4"/>
      <c r="T277" s="4"/>
      <c r="U277" s="4"/>
      <c r="V277" s="4"/>
      <c r="W277" s="4">
        <v>109410.5</v>
      </c>
      <c r="X277" s="4">
        <v>1</v>
      </c>
      <c r="Y277" s="4">
        <v>109410.5</v>
      </c>
      <c r="Z277" s="4"/>
      <c r="AA277" s="4"/>
      <c r="AB277" s="4"/>
    </row>
    <row r="278" spans="1:28">
      <c r="A278" s="4">
        <v>50</v>
      </c>
      <c r="B278" s="4">
        <v>0</v>
      </c>
      <c r="C278" s="4">
        <v>0</v>
      </c>
      <c r="D278" s="4">
        <v>1</v>
      </c>
      <c r="E278" s="4">
        <v>226</v>
      </c>
      <c r="F278" s="4">
        <f>ROUND(Source!AW272,O278)</f>
        <v>74078.539999999994</v>
      </c>
      <c r="G278" s="4" t="s">
        <v>139</v>
      </c>
      <c r="H278" s="4" t="s">
        <v>140</v>
      </c>
      <c r="I278" s="4"/>
      <c r="J278" s="4"/>
      <c r="K278" s="4">
        <v>226</v>
      </c>
      <c r="L278" s="4">
        <v>5</v>
      </c>
      <c r="M278" s="4">
        <v>3</v>
      </c>
      <c r="N278" s="4" t="s">
        <v>3</v>
      </c>
      <c r="O278" s="4">
        <v>2</v>
      </c>
      <c r="P278" s="4"/>
      <c r="Q278" s="4"/>
      <c r="R278" s="4"/>
      <c r="S278" s="4"/>
      <c r="T278" s="4"/>
      <c r="U278" s="4"/>
      <c r="V278" s="4"/>
      <c r="W278" s="4">
        <v>74078.539999999994</v>
      </c>
      <c r="X278" s="4">
        <v>1</v>
      </c>
      <c r="Y278" s="4">
        <v>74078.539999999994</v>
      </c>
      <c r="Z278" s="4"/>
      <c r="AA278" s="4"/>
      <c r="AB278" s="4"/>
    </row>
    <row r="279" spans="1:28">
      <c r="A279" s="4">
        <v>50</v>
      </c>
      <c r="B279" s="4">
        <v>0</v>
      </c>
      <c r="C279" s="4">
        <v>0</v>
      </c>
      <c r="D279" s="4">
        <v>1</v>
      </c>
      <c r="E279" s="4">
        <v>227</v>
      </c>
      <c r="F279" s="4">
        <f>ROUND(Source!AX272,O279)</f>
        <v>0</v>
      </c>
      <c r="G279" s="4" t="s">
        <v>141</v>
      </c>
      <c r="H279" s="4" t="s">
        <v>142</v>
      </c>
      <c r="I279" s="4"/>
      <c r="J279" s="4"/>
      <c r="K279" s="4">
        <v>227</v>
      </c>
      <c r="L279" s="4">
        <v>6</v>
      </c>
      <c r="M279" s="4">
        <v>3</v>
      </c>
      <c r="N279" s="4" t="s">
        <v>3</v>
      </c>
      <c r="O279" s="4">
        <v>2</v>
      </c>
      <c r="P279" s="4"/>
      <c r="Q279" s="4"/>
      <c r="R279" s="4"/>
      <c r="S279" s="4"/>
      <c r="T279" s="4"/>
      <c r="U279" s="4"/>
      <c r="V279" s="4"/>
      <c r="W279" s="4">
        <v>0</v>
      </c>
      <c r="X279" s="4">
        <v>1</v>
      </c>
      <c r="Y279" s="4">
        <v>0</v>
      </c>
      <c r="Z279" s="4"/>
      <c r="AA279" s="4"/>
      <c r="AB279" s="4"/>
    </row>
    <row r="280" spans="1:28">
      <c r="A280" s="4">
        <v>50</v>
      </c>
      <c r="B280" s="4">
        <v>0</v>
      </c>
      <c r="C280" s="4">
        <v>0</v>
      </c>
      <c r="D280" s="4">
        <v>1</v>
      </c>
      <c r="E280" s="4">
        <v>228</v>
      </c>
      <c r="F280" s="4">
        <f>ROUND(Source!AY272,O280)</f>
        <v>74078.539999999994</v>
      </c>
      <c r="G280" s="4" t="s">
        <v>143</v>
      </c>
      <c r="H280" s="4" t="s">
        <v>144</v>
      </c>
      <c r="I280" s="4"/>
      <c r="J280" s="4"/>
      <c r="K280" s="4">
        <v>228</v>
      </c>
      <c r="L280" s="4">
        <v>7</v>
      </c>
      <c r="M280" s="4">
        <v>3</v>
      </c>
      <c r="N280" s="4" t="s">
        <v>3</v>
      </c>
      <c r="O280" s="4">
        <v>2</v>
      </c>
      <c r="P280" s="4"/>
      <c r="Q280" s="4"/>
      <c r="R280" s="4"/>
      <c r="S280" s="4"/>
      <c r="T280" s="4"/>
      <c r="U280" s="4"/>
      <c r="V280" s="4"/>
      <c r="W280" s="4">
        <v>74078.539999999994</v>
      </c>
      <c r="X280" s="4">
        <v>1</v>
      </c>
      <c r="Y280" s="4">
        <v>74078.539999999994</v>
      </c>
      <c r="Z280" s="4"/>
      <c r="AA280" s="4"/>
      <c r="AB280" s="4"/>
    </row>
    <row r="281" spans="1:28">
      <c r="A281" s="4">
        <v>50</v>
      </c>
      <c r="B281" s="4">
        <v>0</v>
      </c>
      <c r="C281" s="4">
        <v>0</v>
      </c>
      <c r="D281" s="4">
        <v>1</v>
      </c>
      <c r="E281" s="4">
        <v>216</v>
      </c>
      <c r="F281" s="4">
        <f>ROUND(Source!AP272,O281)</f>
        <v>35331.96</v>
      </c>
      <c r="G281" s="4" t="s">
        <v>145</v>
      </c>
      <c r="H281" s="4" t="s">
        <v>146</v>
      </c>
      <c r="I281" s="4"/>
      <c r="J281" s="4"/>
      <c r="K281" s="4">
        <v>216</v>
      </c>
      <c r="L281" s="4">
        <v>8</v>
      </c>
      <c r="M281" s="4">
        <v>3</v>
      </c>
      <c r="N281" s="4" t="s">
        <v>3</v>
      </c>
      <c r="O281" s="4">
        <v>2</v>
      </c>
      <c r="P281" s="4"/>
      <c r="Q281" s="4"/>
      <c r="R281" s="4"/>
      <c r="S281" s="4"/>
      <c r="T281" s="4"/>
      <c r="U281" s="4"/>
      <c r="V281" s="4"/>
      <c r="W281" s="4">
        <v>35331.96</v>
      </c>
      <c r="X281" s="4">
        <v>1</v>
      </c>
      <c r="Y281" s="4">
        <v>35331.96</v>
      </c>
      <c r="Z281" s="4"/>
      <c r="AA281" s="4"/>
      <c r="AB281" s="4"/>
    </row>
    <row r="282" spans="1:28">
      <c r="A282" s="4">
        <v>50</v>
      </c>
      <c r="B282" s="4">
        <v>0</v>
      </c>
      <c r="C282" s="4">
        <v>0</v>
      </c>
      <c r="D282" s="4">
        <v>1</v>
      </c>
      <c r="E282" s="4">
        <v>223</v>
      </c>
      <c r="F282" s="4">
        <f>ROUND(Source!AQ272,O282)</f>
        <v>0</v>
      </c>
      <c r="G282" s="4" t="s">
        <v>147</v>
      </c>
      <c r="H282" s="4" t="s">
        <v>148</v>
      </c>
      <c r="I282" s="4"/>
      <c r="J282" s="4"/>
      <c r="K282" s="4">
        <v>223</v>
      </c>
      <c r="L282" s="4">
        <v>9</v>
      </c>
      <c r="M282" s="4">
        <v>3</v>
      </c>
      <c r="N282" s="4" t="s">
        <v>3</v>
      </c>
      <c r="O282" s="4">
        <v>2</v>
      </c>
      <c r="P282" s="4"/>
      <c r="Q282" s="4"/>
      <c r="R282" s="4"/>
      <c r="S282" s="4"/>
      <c r="T282" s="4"/>
      <c r="U282" s="4"/>
      <c r="V282" s="4"/>
      <c r="W282" s="4">
        <v>0</v>
      </c>
      <c r="X282" s="4">
        <v>1</v>
      </c>
      <c r="Y282" s="4">
        <v>0</v>
      </c>
      <c r="Z282" s="4"/>
      <c r="AA282" s="4"/>
      <c r="AB282" s="4"/>
    </row>
    <row r="283" spans="1:28">
      <c r="A283" s="4">
        <v>50</v>
      </c>
      <c r="B283" s="4">
        <v>0</v>
      </c>
      <c r="C283" s="4">
        <v>0</v>
      </c>
      <c r="D283" s="4">
        <v>1</v>
      </c>
      <c r="E283" s="4">
        <v>229</v>
      </c>
      <c r="F283" s="4">
        <f>ROUND(Source!AZ272,O283)</f>
        <v>35331.96</v>
      </c>
      <c r="G283" s="4" t="s">
        <v>149</v>
      </c>
      <c r="H283" s="4" t="s">
        <v>150</v>
      </c>
      <c r="I283" s="4"/>
      <c r="J283" s="4"/>
      <c r="K283" s="4">
        <v>229</v>
      </c>
      <c r="L283" s="4">
        <v>10</v>
      </c>
      <c r="M283" s="4">
        <v>3</v>
      </c>
      <c r="N283" s="4" t="s">
        <v>3</v>
      </c>
      <c r="O283" s="4">
        <v>2</v>
      </c>
      <c r="P283" s="4"/>
      <c r="Q283" s="4"/>
      <c r="R283" s="4"/>
      <c r="S283" s="4"/>
      <c r="T283" s="4"/>
      <c r="U283" s="4"/>
      <c r="V283" s="4"/>
      <c r="W283" s="4">
        <v>35331.96</v>
      </c>
      <c r="X283" s="4">
        <v>1</v>
      </c>
      <c r="Y283" s="4">
        <v>35331.96</v>
      </c>
      <c r="Z283" s="4"/>
      <c r="AA283" s="4"/>
      <c r="AB283" s="4"/>
    </row>
    <row r="284" spans="1:28">
      <c r="A284" s="4">
        <v>50</v>
      </c>
      <c r="B284" s="4">
        <v>0</v>
      </c>
      <c r="C284" s="4">
        <v>0</v>
      </c>
      <c r="D284" s="4">
        <v>1</v>
      </c>
      <c r="E284" s="4">
        <v>203</v>
      </c>
      <c r="F284" s="4">
        <f>ROUND(Source!Q272,O284)</f>
        <v>1868.18</v>
      </c>
      <c r="G284" s="4" t="s">
        <v>151</v>
      </c>
      <c r="H284" s="4" t="s">
        <v>152</v>
      </c>
      <c r="I284" s="4"/>
      <c r="J284" s="4"/>
      <c r="K284" s="4">
        <v>203</v>
      </c>
      <c r="L284" s="4">
        <v>11</v>
      </c>
      <c r="M284" s="4">
        <v>3</v>
      </c>
      <c r="N284" s="4" t="s">
        <v>3</v>
      </c>
      <c r="O284" s="4">
        <v>2</v>
      </c>
      <c r="P284" s="4"/>
      <c r="Q284" s="4"/>
      <c r="R284" s="4"/>
      <c r="S284" s="4"/>
      <c r="T284" s="4"/>
      <c r="U284" s="4"/>
      <c r="V284" s="4"/>
      <c r="W284" s="4">
        <v>1868.18</v>
      </c>
      <c r="X284" s="4">
        <v>1</v>
      </c>
      <c r="Y284" s="4">
        <v>1868.18</v>
      </c>
      <c r="Z284" s="4"/>
      <c r="AA284" s="4"/>
      <c r="AB284" s="4"/>
    </row>
    <row r="285" spans="1:28">
      <c r="A285" s="4">
        <v>50</v>
      </c>
      <c r="B285" s="4">
        <v>0</v>
      </c>
      <c r="C285" s="4">
        <v>0</v>
      </c>
      <c r="D285" s="4">
        <v>1</v>
      </c>
      <c r="E285" s="4">
        <v>231</v>
      </c>
      <c r="F285" s="4">
        <f>ROUND(Source!BB272,O285)</f>
        <v>0</v>
      </c>
      <c r="G285" s="4" t="s">
        <v>153</v>
      </c>
      <c r="H285" s="4" t="s">
        <v>154</v>
      </c>
      <c r="I285" s="4"/>
      <c r="J285" s="4"/>
      <c r="K285" s="4">
        <v>231</v>
      </c>
      <c r="L285" s="4">
        <v>12</v>
      </c>
      <c r="M285" s="4">
        <v>3</v>
      </c>
      <c r="N285" s="4" t="s">
        <v>3</v>
      </c>
      <c r="O285" s="4">
        <v>2</v>
      </c>
      <c r="P285" s="4"/>
      <c r="Q285" s="4"/>
      <c r="R285" s="4"/>
      <c r="S285" s="4"/>
      <c r="T285" s="4"/>
      <c r="U285" s="4"/>
      <c r="V285" s="4"/>
      <c r="W285" s="4">
        <v>0</v>
      </c>
      <c r="X285" s="4">
        <v>1</v>
      </c>
      <c r="Y285" s="4">
        <v>0</v>
      </c>
      <c r="Z285" s="4"/>
      <c r="AA285" s="4"/>
      <c r="AB285" s="4"/>
    </row>
    <row r="286" spans="1:28">
      <c r="A286" s="4">
        <v>50</v>
      </c>
      <c r="B286" s="4">
        <v>0</v>
      </c>
      <c r="C286" s="4">
        <v>0</v>
      </c>
      <c r="D286" s="4">
        <v>1</v>
      </c>
      <c r="E286" s="4">
        <v>204</v>
      </c>
      <c r="F286" s="4">
        <f>ROUND(Source!R272,O286)</f>
        <v>876.24</v>
      </c>
      <c r="G286" s="4" t="s">
        <v>155</v>
      </c>
      <c r="H286" s="4" t="s">
        <v>156</v>
      </c>
      <c r="I286" s="4"/>
      <c r="J286" s="4"/>
      <c r="K286" s="4">
        <v>204</v>
      </c>
      <c r="L286" s="4">
        <v>13</v>
      </c>
      <c r="M286" s="4">
        <v>3</v>
      </c>
      <c r="N286" s="4" t="s">
        <v>3</v>
      </c>
      <c r="O286" s="4">
        <v>2</v>
      </c>
      <c r="P286" s="4"/>
      <c r="Q286" s="4"/>
      <c r="R286" s="4"/>
      <c r="S286" s="4"/>
      <c r="T286" s="4"/>
      <c r="U286" s="4"/>
      <c r="V286" s="4"/>
      <c r="W286" s="4">
        <v>876.24</v>
      </c>
      <c r="X286" s="4">
        <v>1</v>
      </c>
      <c r="Y286" s="4">
        <v>876.24</v>
      </c>
      <c r="Z286" s="4"/>
      <c r="AA286" s="4"/>
      <c r="AB286" s="4"/>
    </row>
    <row r="287" spans="1:28">
      <c r="A287" s="4">
        <v>50</v>
      </c>
      <c r="B287" s="4">
        <v>0</v>
      </c>
      <c r="C287" s="4">
        <v>0</v>
      </c>
      <c r="D287" s="4">
        <v>1</v>
      </c>
      <c r="E287" s="4">
        <v>205</v>
      </c>
      <c r="F287" s="4">
        <f>ROUND(Source!S272,O287)</f>
        <v>139365.60999999999</v>
      </c>
      <c r="G287" s="4" t="s">
        <v>157</v>
      </c>
      <c r="H287" s="4" t="s">
        <v>158</v>
      </c>
      <c r="I287" s="4"/>
      <c r="J287" s="4"/>
      <c r="K287" s="4">
        <v>205</v>
      </c>
      <c r="L287" s="4">
        <v>14</v>
      </c>
      <c r="M287" s="4">
        <v>3</v>
      </c>
      <c r="N287" s="4" t="s">
        <v>3</v>
      </c>
      <c r="O287" s="4">
        <v>2</v>
      </c>
      <c r="P287" s="4"/>
      <c r="Q287" s="4"/>
      <c r="R287" s="4"/>
      <c r="S287" s="4"/>
      <c r="T287" s="4"/>
      <c r="U287" s="4"/>
      <c r="V287" s="4"/>
      <c r="W287" s="4">
        <v>139365.60999999999</v>
      </c>
      <c r="X287" s="4">
        <v>1</v>
      </c>
      <c r="Y287" s="4">
        <v>139365.60999999999</v>
      </c>
      <c r="Z287" s="4"/>
      <c r="AA287" s="4"/>
      <c r="AB287" s="4"/>
    </row>
    <row r="288" spans="1:28">
      <c r="A288" s="4">
        <v>50</v>
      </c>
      <c r="B288" s="4">
        <v>0</v>
      </c>
      <c r="C288" s="4">
        <v>0</v>
      </c>
      <c r="D288" s="4">
        <v>1</v>
      </c>
      <c r="E288" s="4">
        <v>232</v>
      </c>
      <c r="F288" s="4">
        <f>ROUND(Source!BC272,O288)</f>
        <v>0</v>
      </c>
      <c r="G288" s="4" t="s">
        <v>159</v>
      </c>
      <c r="H288" s="4" t="s">
        <v>160</v>
      </c>
      <c r="I288" s="4"/>
      <c r="J288" s="4"/>
      <c r="K288" s="4">
        <v>232</v>
      </c>
      <c r="L288" s="4">
        <v>15</v>
      </c>
      <c r="M288" s="4">
        <v>3</v>
      </c>
      <c r="N288" s="4" t="s">
        <v>3</v>
      </c>
      <c r="O288" s="4">
        <v>2</v>
      </c>
      <c r="P288" s="4"/>
      <c r="Q288" s="4"/>
      <c r="R288" s="4"/>
      <c r="S288" s="4"/>
      <c r="T288" s="4"/>
      <c r="U288" s="4"/>
      <c r="V288" s="4"/>
      <c r="W288" s="4">
        <v>0</v>
      </c>
      <c r="X288" s="4">
        <v>1</v>
      </c>
      <c r="Y288" s="4">
        <v>0</v>
      </c>
      <c r="Z288" s="4"/>
      <c r="AA288" s="4"/>
      <c r="AB288" s="4"/>
    </row>
    <row r="289" spans="1:28">
      <c r="A289" s="4">
        <v>50</v>
      </c>
      <c r="B289" s="4">
        <v>0</v>
      </c>
      <c r="C289" s="4">
        <v>0</v>
      </c>
      <c r="D289" s="4">
        <v>1</v>
      </c>
      <c r="E289" s="4">
        <v>214</v>
      </c>
      <c r="F289" s="4">
        <f>ROUND(Source!AS272,O289)</f>
        <v>37206.589999999997</v>
      </c>
      <c r="G289" s="4" t="s">
        <v>161</v>
      </c>
      <c r="H289" s="4" t="s">
        <v>162</v>
      </c>
      <c r="I289" s="4"/>
      <c r="J289" s="4"/>
      <c r="K289" s="4">
        <v>214</v>
      </c>
      <c r="L289" s="4">
        <v>16</v>
      </c>
      <c r="M289" s="4">
        <v>3</v>
      </c>
      <c r="N289" s="4" t="s">
        <v>3</v>
      </c>
      <c r="O289" s="4">
        <v>2</v>
      </c>
      <c r="P289" s="4"/>
      <c r="Q289" s="4"/>
      <c r="R289" s="4"/>
      <c r="S289" s="4"/>
      <c r="T289" s="4"/>
      <c r="U289" s="4"/>
      <c r="V289" s="4"/>
      <c r="W289" s="4">
        <v>37206.589999999997</v>
      </c>
      <c r="X289" s="4">
        <v>1</v>
      </c>
      <c r="Y289" s="4">
        <v>37206.589999999997</v>
      </c>
      <c r="Z289" s="4"/>
      <c r="AA289" s="4"/>
      <c r="AB289" s="4"/>
    </row>
    <row r="290" spans="1:28">
      <c r="A290" s="4">
        <v>50</v>
      </c>
      <c r="B290" s="4">
        <v>0</v>
      </c>
      <c r="C290" s="4">
        <v>0</v>
      </c>
      <c r="D290" s="4">
        <v>1</v>
      </c>
      <c r="E290" s="4">
        <v>215</v>
      </c>
      <c r="F290" s="4">
        <f>ROUND(Source!AT272,O290)</f>
        <v>216050.23</v>
      </c>
      <c r="G290" s="4" t="s">
        <v>163</v>
      </c>
      <c r="H290" s="4" t="s">
        <v>164</v>
      </c>
      <c r="I290" s="4"/>
      <c r="J290" s="4"/>
      <c r="K290" s="4">
        <v>215</v>
      </c>
      <c r="L290" s="4">
        <v>17</v>
      </c>
      <c r="M290" s="4">
        <v>3</v>
      </c>
      <c r="N290" s="4" t="s">
        <v>3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216050.23</v>
      </c>
      <c r="X290" s="4">
        <v>1</v>
      </c>
      <c r="Y290" s="4">
        <v>216050.23</v>
      </c>
      <c r="Z290" s="4"/>
      <c r="AA290" s="4"/>
      <c r="AB290" s="4"/>
    </row>
    <row r="291" spans="1:28">
      <c r="A291" s="4">
        <v>50</v>
      </c>
      <c r="B291" s="4">
        <v>0</v>
      </c>
      <c r="C291" s="4">
        <v>0</v>
      </c>
      <c r="D291" s="4">
        <v>1</v>
      </c>
      <c r="E291" s="4">
        <v>217</v>
      </c>
      <c r="F291" s="4">
        <f>ROUND(Source!AU272,O291)</f>
        <v>144556.95000000001</v>
      </c>
      <c r="G291" s="4" t="s">
        <v>165</v>
      </c>
      <c r="H291" s="4" t="s">
        <v>166</v>
      </c>
      <c r="I291" s="4"/>
      <c r="J291" s="4"/>
      <c r="K291" s="4">
        <v>217</v>
      </c>
      <c r="L291" s="4">
        <v>18</v>
      </c>
      <c r="M291" s="4">
        <v>3</v>
      </c>
      <c r="N291" s="4" t="s">
        <v>3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144556.95000000001</v>
      </c>
      <c r="X291" s="4">
        <v>1</v>
      </c>
      <c r="Y291" s="4">
        <v>144556.95000000001</v>
      </c>
      <c r="Z291" s="4"/>
      <c r="AA291" s="4"/>
      <c r="AB291" s="4"/>
    </row>
    <row r="292" spans="1:28">
      <c r="A292" s="4">
        <v>50</v>
      </c>
      <c r="B292" s="4">
        <v>0</v>
      </c>
      <c r="C292" s="4">
        <v>0</v>
      </c>
      <c r="D292" s="4">
        <v>1</v>
      </c>
      <c r="E292" s="4">
        <v>230</v>
      </c>
      <c r="F292" s="4">
        <f>ROUND(Source!BA272,O292)</f>
        <v>0</v>
      </c>
      <c r="G292" s="4" t="s">
        <v>167</v>
      </c>
      <c r="H292" s="4" t="s">
        <v>168</v>
      </c>
      <c r="I292" s="4"/>
      <c r="J292" s="4"/>
      <c r="K292" s="4">
        <v>230</v>
      </c>
      <c r="L292" s="4">
        <v>19</v>
      </c>
      <c r="M292" s="4">
        <v>3</v>
      </c>
      <c r="N292" s="4" t="s">
        <v>3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0</v>
      </c>
      <c r="X292" s="4">
        <v>1</v>
      </c>
      <c r="Y292" s="4">
        <v>0</v>
      </c>
      <c r="Z292" s="4"/>
      <c r="AA292" s="4"/>
      <c r="AB292" s="4"/>
    </row>
    <row r="293" spans="1:28">
      <c r="A293" s="4">
        <v>50</v>
      </c>
      <c r="B293" s="4">
        <v>0</v>
      </c>
      <c r="C293" s="4">
        <v>0</v>
      </c>
      <c r="D293" s="4">
        <v>1</v>
      </c>
      <c r="E293" s="4">
        <v>206</v>
      </c>
      <c r="F293" s="4">
        <f>ROUND(Source!T272,O293)</f>
        <v>0</v>
      </c>
      <c r="G293" s="4" t="s">
        <v>169</v>
      </c>
      <c r="H293" s="4" t="s">
        <v>170</v>
      </c>
      <c r="I293" s="4"/>
      <c r="J293" s="4"/>
      <c r="K293" s="4">
        <v>206</v>
      </c>
      <c r="L293" s="4">
        <v>20</v>
      </c>
      <c r="M293" s="4">
        <v>3</v>
      </c>
      <c r="N293" s="4" t="s">
        <v>3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0</v>
      </c>
      <c r="X293" s="4">
        <v>1</v>
      </c>
      <c r="Y293" s="4">
        <v>0</v>
      </c>
      <c r="Z293" s="4"/>
      <c r="AA293" s="4"/>
      <c r="AB293" s="4"/>
    </row>
    <row r="294" spans="1:28">
      <c r="A294" s="4">
        <v>50</v>
      </c>
      <c r="B294" s="4">
        <v>0</v>
      </c>
      <c r="C294" s="4">
        <v>0</v>
      </c>
      <c r="D294" s="4">
        <v>1</v>
      </c>
      <c r="E294" s="4">
        <v>207</v>
      </c>
      <c r="F294" s="4">
        <f>Source!U272</f>
        <v>177.54845579999994</v>
      </c>
      <c r="G294" s="4" t="s">
        <v>171</v>
      </c>
      <c r="H294" s="4" t="s">
        <v>172</v>
      </c>
      <c r="I294" s="4"/>
      <c r="J294" s="4"/>
      <c r="K294" s="4">
        <v>207</v>
      </c>
      <c r="L294" s="4">
        <v>21</v>
      </c>
      <c r="M294" s="4">
        <v>3</v>
      </c>
      <c r="N294" s="4" t="s">
        <v>3</v>
      </c>
      <c r="O294" s="4">
        <v>-1</v>
      </c>
      <c r="P294" s="4"/>
      <c r="Q294" s="4"/>
      <c r="R294" s="4"/>
      <c r="S294" s="4"/>
      <c r="T294" s="4"/>
      <c r="U294" s="4"/>
      <c r="V294" s="4"/>
      <c r="W294" s="4">
        <v>177.54845579999997</v>
      </c>
      <c r="X294" s="4">
        <v>1</v>
      </c>
      <c r="Y294" s="4">
        <v>177.54845579999997</v>
      </c>
      <c r="Z294" s="4"/>
      <c r="AA294" s="4"/>
      <c r="AB294" s="4"/>
    </row>
    <row r="295" spans="1:28">
      <c r="A295" s="4">
        <v>50</v>
      </c>
      <c r="B295" s="4">
        <v>0</v>
      </c>
      <c r="C295" s="4">
        <v>0</v>
      </c>
      <c r="D295" s="4">
        <v>1</v>
      </c>
      <c r="E295" s="4">
        <v>208</v>
      </c>
      <c r="F295" s="4">
        <f>Source!V272</f>
        <v>0</v>
      </c>
      <c r="G295" s="4" t="s">
        <v>173</v>
      </c>
      <c r="H295" s="4" t="s">
        <v>174</v>
      </c>
      <c r="I295" s="4"/>
      <c r="J295" s="4"/>
      <c r="K295" s="4">
        <v>208</v>
      </c>
      <c r="L295" s="4">
        <v>22</v>
      </c>
      <c r="M295" s="4">
        <v>3</v>
      </c>
      <c r="N295" s="4" t="s">
        <v>3</v>
      </c>
      <c r="O295" s="4">
        <v>-1</v>
      </c>
      <c r="P295" s="4"/>
      <c r="Q295" s="4"/>
      <c r="R295" s="4"/>
      <c r="S295" s="4"/>
      <c r="T295" s="4"/>
      <c r="U295" s="4"/>
      <c r="V295" s="4"/>
      <c r="W295" s="4">
        <v>0</v>
      </c>
      <c r="X295" s="4">
        <v>1</v>
      </c>
      <c r="Y295" s="4">
        <v>0</v>
      </c>
      <c r="Z295" s="4"/>
      <c r="AA295" s="4"/>
      <c r="AB295" s="4"/>
    </row>
    <row r="296" spans="1:28">
      <c r="A296" s="4">
        <v>50</v>
      </c>
      <c r="B296" s="4">
        <v>0</v>
      </c>
      <c r="C296" s="4">
        <v>0</v>
      </c>
      <c r="D296" s="4">
        <v>1</v>
      </c>
      <c r="E296" s="4">
        <v>209</v>
      </c>
      <c r="F296" s="4">
        <f>ROUND(Source!W272,O296)</f>
        <v>0</v>
      </c>
      <c r="G296" s="4" t="s">
        <v>175</v>
      </c>
      <c r="H296" s="4" t="s">
        <v>176</v>
      </c>
      <c r="I296" s="4"/>
      <c r="J296" s="4"/>
      <c r="K296" s="4">
        <v>209</v>
      </c>
      <c r="L296" s="4">
        <v>23</v>
      </c>
      <c r="M296" s="4">
        <v>3</v>
      </c>
      <c r="N296" s="4" t="s">
        <v>3</v>
      </c>
      <c r="O296" s="4">
        <v>2</v>
      </c>
      <c r="P296" s="4"/>
      <c r="Q296" s="4"/>
      <c r="R296" s="4"/>
      <c r="S296" s="4"/>
      <c r="T296" s="4"/>
      <c r="U296" s="4"/>
      <c r="V296" s="4"/>
      <c r="W296" s="4">
        <v>0</v>
      </c>
      <c r="X296" s="4">
        <v>1</v>
      </c>
      <c r="Y296" s="4">
        <v>0</v>
      </c>
      <c r="Z296" s="4"/>
      <c r="AA296" s="4"/>
      <c r="AB296" s="4"/>
    </row>
    <row r="297" spans="1:28">
      <c r="A297" s="4">
        <v>50</v>
      </c>
      <c r="B297" s="4">
        <v>0</v>
      </c>
      <c r="C297" s="4">
        <v>0</v>
      </c>
      <c r="D297" s="4">
        <v>1</v>
      </c>
      <c r="E297" s="4">
        <v>233</v>
      </c>
      <c r="F297" s="4">
        <f>ROUND(Source!BD272,O297)</f>
        <v>0</v>
      </c>
      <c r="G297" s="4" t="s">
        <v>177</v>
      </c>
      <c r="H297" s="4" t="s">
        <v>178</v>
      </c>
      <c r="I297" s="4"/>
      <c r="J297" s="4"/>
      <c r="K297" s="4">
        <v>233</v>
      </c>
      <c r="L297" s="4">
        <v>24</v>
      </c>
      <c r="M297" s="4">
        <v>3</v>
      </c>
      <c r="N297" s="4" t="s">
        <v>3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0</v>
      </c>
      <c r="X297" s="4">
        <v>1</v>
      </c>
      <c r="Y297" s="4">
        <v>0</v>
      </c>
      <c r="Z297" s="4"/>
      <c r="AA297" s="4"/>
      <c r="AB297" s="4"/>
    </row>
    <row r="298" spans="1:28">
      <c r="A298" s="4">
        <v>50</v>
      </c>
      <c r="B298" s="4">
        <v>0</v>
      </c>
      <c r="C298" s="4">
        <v>0</v>
      </c>
      <c r="D298" s="4">
        <v>1</v>
      </c>
      <c r="E298" s="4">
        <v>210</v>
      </c>
      <c r="F298" s="4">
        <f>ROUND(Source!X272,O298)</f>
        <v>120773.75</v>
      </c>
      <c r="G298" s="4" t="s">
        <v>179</v>
      </c>
      <c r="H298" s="4" t="s">
        <v>180</v>
      </c>
      <c r="I298" s="4"/>
      <c r="J298" s="4"/>
      <c r="K298" s="4">
        <v>210</v>
      </c>
      <c r="L298" s="4">
        <v>25</v>
      </c>
      <c r="M298" s="4">
        <v>3</v>
      </c>
      <c r="N298" s="4" t="s">
        <v>3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120773.75</v>
      </c>
      <c r="X298" s="4">
        <v>1</v>
      </c>
      <c r="Y298" s="4">
        <v>120773.75</v>
      </c>
      <c r="Z298" s="4"/>
      <c r="AA298" s="4"/>
      <c r="AB298" s="4"/>
    </row>
    <row r="299" spans="1:28">
      <c r="A299" s="4">
        <v>50</v>
      </c>
      <c r="B299" s="4">
        <v>0</v>
      </c>
      <c r="C299" s="4">
        <v>0</v>
      </c>
      <c r="D299" s="4">
        <v>1</v>
      </c>
      <c r="E299" s="4">
        <v>211</v>
      </c>
      <c r="F299" s="4">
        <f>ROUND(Source!Y272,O299)</f>
        <v>61727.69</v>
      </c>
      <c r="G299" s="4" t="s">
        <v>181</v>
      </c>
      <c r="H299" s="4" t="s">
        <v>182</v>
      </c>
      <c r="I299" s="4"/>
      <c r="J299" s="4"/>
      <c r="K299" s="4">
        <v>211</v>
      </c>
      <c r="L299" s="4">
        <v>26</v>
      </c>
      <c r="M299" s="4">
        <v>3</v>
      </c>
      <c r="N299" s="4" t="s">
        <v>3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61727.69</v>
      </c>
      <c r="X299" s="4">
        <v>1</v>
      </c>
      <c r="Y299" s="4">
        <v>61727.69</v>
      </c>
      <c r="Z299" s="4"/>
      <c r="AA299" s="4"/>
      <c r="AB299" s="4"/>
    </row>
    <row r="300" spans="1:28">
      <c r="A300" s="4">
        <v>50</v>
      </c>
      <c r="B300" s="4">
        <v>0</v>
      </c>
      <c r="C300" s="4">
        <v>0</v>
      </c>
      <c r="D300" s="4">
        <v>1</v>
      </c>
      <c r="E300" s="4">
        <v>224</v>
      </c>
      <c r="F300" s="4">
        <f>ROUND(Source!AR272,O300)</f>
        <v>433145.73</v>
      </c>
      <c r="G300" s="4" t="s">
        <v>183</v>
      </c>
      <c r="H300" s="4" t="s">
        <v>184</v>
      </c>
      <c r="I300" s="4"/>
      <c r="J300" s="4"/>
      <c r="K300" s="4">
        <v>224</v>
      </c>
      <c r="L300" s="4">
        <v>27</v>
      </c>
      <c r="M300" s="4">
        <v>3</v>
      </c>
      <c r="N300" s="4" t="s">
        <v>3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433145.73</v>
      </c>
      <c r="X300" s="4">
        <v>1</v>
      </c>
      <c r="Y300" s="4">
        <v>433145.73</v>
      </c>
      <c r="Z300" s="4"/>
      <c r="AA300" s="4"/>
      <c r="AB300" s="4"/>
    </row>
    <row r="302" spans="1:28">
      <c r="A302" s="5">
        <v>61</v>
      </c>
      <c r="B302" s="5"/>
      <c r="C302" s="5"/>
      <c r="D302" s="5"/>
      <c r="E302" s="5"/>
      <c r="F302" s="5">
        <v>12</v>
      </c>
      <c r="G302" s="5" t="s">
        <v>418</v>
      </c>
      <c r="H302" s="5" t="s">
        <v>419</v>
      </c>
    </row>
    <row r="303" spans="1:28">
      <c r="A303" s="5">
        <v>61</v>
      </c>
      <c r="B303" s="5"/>
      <c r="C303" s="5"/>
      <c r="D303" s="5"/>
      <c r="E303" s="5"/>
      <c r="F303" s="5">
        <v>0</v>
      </c>
      <c r="G303" s="5" t="s">
        <v>420</v>
      </c>
      <c r="H303" s="5" t="s">
        <v>419</v>
      </c>
    </row>
    <row r="305" spans="1:50">
      <c r="A305">
        <v>71</v>
      </c>
      <c r="B305">
        <v>1</v>
      </c>
      <c r="D305">
        <v>86</v>
      </c>
      <c r="E305">
        <v>74041735</v>
      </c>
      <c r="F305" t="s">
        <v>3</v>
      </c>
      <c r="G305" t="s">
        <v>3</v>
      </c>
      <c r="H305">
        <v>-1</v>
      </c>
      <c r="I305">
        <v>-1</v>
      </c>
    </row>
    <row r="308" spans="1:50">
      <c r="A308">
        <v>70</v>
      </c>
      <c r="B308">
        <v>1</v>
      </c>
      <c r="D308">
        <v>1</v>
      </c>
      <c r="E308" t="s">
        <v>421</v>
      </c>
      <c r="F308" t="s">
        <v>422</v>
      </c>
      <c r="G308">
        <v>0</v>
      </c>
      <c r="H308">
        <v>0</v>
      </c>
      <c r="I308" t="s">
        <v>3</v>
      </c>
      <c r="J308">
        <v>1</v>
      </c>
      <c r="K308">
        <v>0</v>
      </c>
      <c r="L308" t="s">
        <v>3</v>
      </c>
      <c r="M308" t="s">
        <v>3</v>
      </c>
      <c r="N308">
        <v>0</v>
      </c>
      <c r="P308" t="s">
        <v>3</v>
      </c>
    </row>
    <row r="309" spans="1:50">
      <c r="A309">
        <v>70</v>
      </c>
      <c r="B309">
        <v>1</v>
      </c>
      <c r="D309">
        <v>2</v>
      </c>
      <c r="E309" t="s">
        <v>423</v>
      </c>
      <c r="F309" t="s">
        <v>424</v>
      </c>
      <c r="G309">
        <v>1</v>
      </c>
      <c r="H309">
        <v>0</v>
      </c>
      <c r="I309" t="s">
        <v>3</v>
      </c>
      <c r="J309">
        <v>1</v>
      </c>
      <c r="K309">
        <v>0</v>
      </c>
      <c r="L309" t="s">
        <v>3</v>
      </c>
      <c r="M309" t="s">
        <v>3</v>
      </c>
      <c r="N309">
        <v>0</v>
      </c>
      <c r="P309" t="s">
        <v>3</v>
      </c>
    </row>
    <row r="310" spans="1:50">
      <c r="A310">
        <v>70</v>
      </c>
      <c r="B310">
        <v>1</v>
      </c>
      <c r="D310">
        <v>3</v>
      </c>
      <c r="E310" t="s">
        <v>425</v>
      </c>
      <c r="F310" t="s">
        <v>426</v>
      </c>
      <c r="G310">
        <v>0</v>
      </c>
      <c r="H310">
        <v>0</v>
      </c>
      <c r="I310" t="s">
        <v>3</v>
      </c>
      <c r="J310">
        <v>0</v>
      </c>
      <c r="K310">
        <v>0</v>
      </c>
      <c r="L310" t="s">
        <v>3</v>
      </c>
      <c r="M310" t="s">
        <v>3</v>
      </c>
      <c r="N310">
        <v>0</v>
      </c>
      <c r="P310" t="s">
        <v>3</v>
      </c>
    </row>
    <row r="311" spans="1:50">
      <c r="A311">
        <v>70</v>
      </c>
      <c r="B311">
        <v>1</v>
      </c>
      <c r="D311">
        <v>4</v>
      </c>
      <c r="E311" t="s">
        <v>427</v>
      </c>
      <c r="F311" t="s">
        <v>428</v>
      </c>
      <c r="G311">
        <v>1</v>
      </c>
      <c r="H311">
        <v>0</v>
      </c>
      <c r="I311" t="s">
        <v>3</v>
      </c>
      <c r="J311">
        <v>0</v>
      </c>
      <c r="K311">
        <v>0</v>
      </c>
      <c r="L311" t="s">
        <v>3</v>
      </c>
      <c r="M311" t="s">
        <v>3</v>
      </c>
      <c r="N311">
        <v>0</v>
      </c>
      <c r="P311" t="s">
        <v>3</v>
      </c>
    </row>
    <row r="312" spans="1:50">
      <c r="A312">
        <v>70</v>
      </c>
      <c r="B312">
        <v>1</v>
      </c>
      <c r="D312">
        <v>5</v>
      </c>
      <c r="E312" t="s">
        <v>429</v>
      </c>
      <c r="F312" t="s">
        <v>430</v>
      </c>
      <c r="G312">
        <v>1</v>
      </c>
      <c r="H312">
        <v>0</v>
      </c>
      <c r="I312" t="s">
        <v>3</v>
      </c>
      <c r="J312">
        <v>0</v>
      </c>
      <c r="K312">
        <v>0</v>
      </c>
      <c r="L312" t="s">
        <v>3</v>
      </c>
      <c r="M312" t="s">
        <v>3</v>
      </c>
      <c r="N312">
        <v>0</v>
      </c>
      <c r="P312" t="s">
        <v>3</v>
      </c>
    </row>
    <row r="313" spans="1:50">
      <c r="A313">
        <v>70</v>
      </c>
      <c r="B313">
        <v>1</v>
      </c>
      <c r="D313">
        <v>6</v>
      </c>
      <c r="E313" t="s">
        <v>431</v>
      </c>
      <c r="F313" t="s">
        <v>432</v>
      </c>
      <c r="G313">
        <v>0</v>
      </c>
      <c r="H313">
        <v>0</v>
      </c>
      <c r="I313" t="s">
        <v>3</v>
      </c>
      <c r="J313">
        <v>0</v>
      </c>
      <c r="K313">
        <v>0</v>
      </c>
      <c r="L313" t="s">
        <v>3</v>
      </c>
      <c r="M313" t="s">
        <v>3</v>
      </c>
      <c r="N313">
        <v>0</v>
      </c>
      <c r="P313" t="s">
        <v>3</v>
      </c>
    </row>
    <row r="314" spans="1:50">
      <c r="A314">
        <v>70</v>
      </c>
      <c r="B314">
        <v>1</v>
      </c>
      <c r="D314">
        <v>7</v>
      </c>
      <c r="E314" t="s">
        <v>433</v>
      </c>
      <c r="F314" t="s">
        <v>434</v>
      </c>
      <c r="G314">
        <v>0</v>
      </c>
      <c r="H314">
        <v>0</v>
      </c>
      <c r="I314" t="s">
        <v>3</v>
      </c>
      <c r="J314">
        <v>0</v>
      </c>
      <c r="K314">
        <v>0</v>
      </c>
      <c r="L314" t="s">
        <v>3</v>
      </c>
      <c r="M314" t="s">
        <v>3</v>
      </c>
      <c r="N314">
        <v>0</v>
      </c>
      <c r="P314" t="s">
        <v>3</v>
      </c>
    </row>
    <row r="316" spans="1:50">
      <c r="A316">
        <v>-1</v>
      </c>
    </row>
    <row r="318" spans="1:50">
      <c r="A318" s="3">
        <v>75</v>
      </c>
      <c r="B318" s="3" t="s">
        <v>435</v>
      </c>
      <c r="C318" s="3">
        <v>2026</v>
      </c>
      <c r="D318" s="3">
        <v>0</v>
      </c>
      <c r="E318" s="3">
        <v>7</v>
      </c>
      <c r="F318" s="3"/>
      <c r="G318" s="3">
        <v>0</v>
      </c>
      <c r="H318" s="3">
        <v>1</v>
      </c>
      <c r="I318" s="3">
        <v>1</v>
      </c>
      <c r="J318" s="3">
        <v>1</v>
      </c>
      <c r="K318" s="3">
        <v>0</v>
      </c>
      <c r="L318" s="3">
        <v>0</v>
      </c>
      <c r="M318" s="3">
        <v>0</v>
      </c>
      <c r="N318" s="3">
        <v>76282491</v>
      </c>
      <c r="O318" s="3">
        <v>1</v>
      </c>
    </row>
    <row r="319" spans="1:50">
      <c r="A319" s="6">
        <v>1</v>
      </c>
      <c r="B319" s="6" t="s">
        <v>436</v>
      </c>
      <c r="C319" s="6" t="s">
        <v>3</v>
      </c>
      <c r="D319" s="6">
        <v>0</v>
      </c>
      <c r="E319" s="6">
        <v>0</v>
      </c>
      <c r="F319" s="6">
        <v>1</v>
      </c>
      <c r="G319" s="6">
        <v>1</v>
      </c>
      <c r="H319" s="6">
        <v>0</v>
      </c>
      <c r="I319" s="6">
        <v>2</v>
      </c>
      <c r="J319" s="6">
        <v>1</v>
      </c>
      <c r="K319" s="6">
        <v>1</v>
      </c>
      <c r="L319" s="6">
        <v>1</v>
      </c>
      <c r="M319" s="6">
        <v>1</v>
      </c>
      <c r="N319" s="6">
        <v>1</v>
      </c>
      <c r="O319" s="6">
        <v>1</v>
      </c>
      <c r="P319" s="6">
        <v>1</v>
      </c>
      <c r="Q319" s="6">
        <v>1</v>
      </c>
      <c r="R319" s="6" t="s">
        <v>3</v>
      </c>
      <c r="S319" s="6" t="s">
        <v>3</v>
      </c>
      <c r="T319" s="6" t="s">
        <v>3</v>
      </c>
      <c r="U319" s="6" t="s">
        <v>3</v>
      </c>
      <c r="V319" s="6" t="s">
        <v>3</v>
      </c>
      <c r="W319" s="6" t="s">
        <v>3</v>
      </c>
      <c r="X319" s="6" t="s">
        <v>3</v>
      </c>
      <c r="Y319" s="6" t="s">
        <v>3</v>
      </c>
      <c r="Z319" s="6" t="s">
        <v>3</v>
      </c>
      <c r="AA319" s="6" t="s">
        <v>3</v>
      </c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>
        <v>76282492</v>
      </c>
      <c r="AO319" s="6"/>
      <c r="AP319" s="6"/>
      <c r="AQ319" s="6"/>
      <c r="AR319" s="6"/>
      <c r="AS319" s="6"/>
      <c r="AT319" s="6"/>
      <c r="AU319" s="6"/>
      <c r="AV319" s="6"/>
      <c r="AW319" s="6"/>
      <c r="AX319" s="6"/>
    </row>
    <row r="323" spans="1:5">
      <c r="A323">
        <v>65</v>
      </c>
      <c r="C323">
        <v>1</v>
      </c>
      <c r="D323">
        <v>0</v>
      </c>
      <c r="E323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C52"/>
  <sheetViews>
    <sheetView workbookViewId="0"/>
  </sheetViews>
  <sheetFormatPr defaultColWidth="9.140625" defaultRowHeight="12.75"/>
  <cols>
    <col min="1" max="256" width="9.140625" customWidth="1"/>
  </cols>
  <sheetData>
    <row r="1" spans="1:133">
      <c r="A1">
        <v>0</v>
      </c>
      <c r="B1" t="s">
        <v>0</v>
      </c>
      <c r="D1" t="s">
        <v>437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58412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>
      <c r="A12" s="1">
        <v>1</v>
      </c>
      <c r="B12" s="1">
        <v>51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4098</v>
      </c>
      <c r="N12" s="1"/>
      <c r="O12" s="1">
        <v>0</v>
      </c>
      <c r="P12" s="1">
        <v>0</v>
      </c>
      <c r="Q12" s="1">
        <v>0</v>
      </c>
      <c r="R12" s="1">
        <v>0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3</v>
      </c>
      <c r="BZ12" s="1" t="s">
        <v>8</v>
      </c>
      <c r="CA12" s="1" t="s">
        <v>3</v>
      </c>
      <c r="CB12" s="1" t="s">
        <v>3</v>
      </c>
      <c r="CC12" s="1" t="s">
        <v>3</v>
      </c>
      <c r="CD12" s="1" t="s">
        <v>3</v>
      </c>
      <c r="CE12" s="1" t="s">
        <v>9</v>
      </c>
      <c r="CF12" s="1">
        <v>0</v>
      </c>
      <c r="CG12" s="1">
        <v>0</v>
      </c>
      <c r="CH12" s="1">
        <v>16785416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>
      <c r="A14" s="1">
        <v>22</v>
      </c>
      <c r="B14" s="1">
        <v>1</v>
      </c>
      <c r="C14" s="1">
        <v>0</v>
      </c>
      <c r="D14" s="1">
        <v>76282491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>
      <c r="A16" s="7">
        <v>3</v>
      </c>
      <c r="B16" s="7">
        <v>1</v>
      </c>
      <c r="C16" s="7" t="s">
        <v>10</v>
      </c>
      <c r="D16" s="7" t="s">
        <v>10</v>
      </c>
      <c r="E16" s="8">
        <f>ROUND((Source!F257)/1000,2)</f>
        <v>37.21</v>
      </c>
      <c r="F16" s="8">
        <f>ROUND((Source!F258)/1000,2)</f>
        <v>216.05</v>
      </c>
      <c r="G16" s="8">
        <f>ROUND((Source!F249)/1000,2)</f>
        <v>35.33</v>
      </c>
      <c r="H16" s="8">
        <f>ROUND((Source!F259)/1000+(Source!F260)/1000,2)</f>
        <v>144.56</v>
      </c>
      <c r="I16" s="8">
        <f>E16+F16+G16+H16</f>
        <v>433.15000000000003</v>
      </c>
      <c r="J16" s="8">
        <f>ROUND((Source!F255+Source!F254)/1000,2)</f>
        <v>140.24</v>
      </c>
      <c r="K16" s="8">
        <v>360.05</v>
      </c>
      <c r="L16" s="8">
        <v>0</v>
      </c>
      <c r="M16" s="8">
        <v>0</v>
      </c>
      <c r="N16" s="8">
        <f>I16+L16+M16</f>
        <v>433.15000000000003</v>
      </c>
      <c r="AI16" s="7">
        <v>0</v>
      </c>
      <c r="AJ16" s="7">
        <v>0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250644.29</v>
      </c>
      <c r="AU16" s="8">
        <v>109410.5</v>
      </c>
      <c r="AV16" s="8">
        <v>0</v>
      </c>
      <c r="AW16" s="8">
        <v>35331.96</v>
      </c>
      <c r="AX16" s="8">
        <v>0</v>
      </c>
      <c r="AY16" s="8">
        <v>1868.18</v>
      </c>
      <c r="AZ16" s="8">
        <v>876.24</v>
      </c>
      <c r="BA16" s="8">
        <v>139365.60999999999</v>
      </c>
      <c r="BB16" s="8">
        <v>37206.589999999997</v>
      </c>
      <c r="BC16" s="8">
        <v>216050.23</v>
      </c>
      <c r="BD16" s="8">
        <v>144556.95000000001</v>
      </c>
      <c r="BE16" s="8">
        <v>0</v>
      </c>
      <c r="BF16" s="8">
        <v>177.54845579999997</v>
      </c>
      <c r="BG16" s="8">
        <v>0</v>
      </c>
      <c r="BH16" s="8">
        <v>0</v>
      </c>
      <c r="BI16" s="8">
        <v>120773.75</v>
      </c>
      <c r="BJ16" s="8">
        <v>61727.69</v>
      </c>
      <c r="BK16" s="8">
        <v>433145.73</v>
      </c>
    </row>
    <row r="18" spans="1:16">
      <c r="A18">
        <v>51</v>
      </c>
      <c r="E18">
        <v>37.21</v>
      </c>
      <c r="F18">
        <v>216.05</v>
      </c>
      <c r="G18">
        <v>35.33</v>
      </c>
      <c r="H18">
        <v>144.56</v>
      </c>
      <c r="I18">
        <v>433.15</v>
      </c>
      <c r="J18">
        <v>140.24</v>
      </c>
      <c r="K18">
        <v>360.05</v>
      </c>
      <c r="L18">
        <v>0</v>
      </c>
      <c r="M18">
        <v>0</v>
      </c>
      <c r="N18">
        <v>433.15</v>
      </c>
    </row>
    <row r="20" spans="1:16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250644.29</v>
      </c>
      <c r="G20" s="4" t="s">
        <v>131</v>
      </c>
      <c r="H20" s="4" t="s">
        <v>132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109410.5</v>
      </c>
      <c r="G21" s="4" t="s">
        <v>133</v>
      </c>
      <c r="H21" s="4" t="s">
        <v>134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135</v>
      </c>
      <c r="H22" s="4" t="s">
        <v>136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109410.5</v>
      </c>
      <c r="G23" s="4" t="s">
        <v>137</v>
      </c>
      <c r="H23" s="4" t="s">
        <v>138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74078.539999999994</v>
      </c>
      <c r="G24" s="4" t="s">
        <v>139</v>
      </c>
      <c r="H24" s="4" t="s">
        <v>140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141</v>
      </c>
      <c r="H25" s="4" t="s">
        <v>142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74078.539999999994</v>
      </c>
      <c r="G26" s="4" t="s">
        <v>143</v>
      </c>
      <c r="H26" s="4" t="s">
        <v>144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35331.96</v>
      </c>
      <c r="G27" s="4" t="s">
        <v>145</v>
      </c>
      <c r="H27" s="4" t="s">
        <v>146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147</v>
      </c>
      <c r="H28" s="4" t="s">
        <v>148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35331.96</v>
      </c>
      <c r="G29" s="4" t="s">
        <v>149</v>
      </c>
      <c r="H29" s="4" t="s">
        <v>150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1868.18</v>
      </c>
      <c r="G30" s="4" t="s">
        <v>151</v>
      </c>
      <c r="H30" s="4" t="s">
        <v>152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153</v>
      </c>
      <c r="H31" s="4" t="s">
        <v>154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876.24</v>
      </c>
      <c r="G32" s="4" t="s">
        <v>155</v>
      </c>
      <c r="H32" s="4" t="s">
        <v>156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139365.60999999999</v>
      </c>
      <c r="G33" s="4" t="s">
        <v>157</v>
      </c>
      <c r="H33" s="4" t="s">
        <v>158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159</v>
      </c>
      <c r="H34" s="4" t="s">
        <v>160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37206.589999999997</v>
      </c>
      <c r="G35" s="4" t="s">
        <v>161</v>
      </c>
      <c r="H35" s="4" t="s">
        <v>162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216050.23</v>
      </c>
      <c r="G36" s="4" t="s">
        <v>163</v>
      </c>
      <c r="H36" s="4" t="s">
        <v>164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144556.95000000001</v>
      </c>
      <c r="G37" s="4" t="s">
        <v>165</v>
      </c>
      <c r="H37" s="4" t="s">
        <v>166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167</v>
      </c>
      <c r="H38" s="4" t="s">
        <v>168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169</v>
      </c>
      <c r="H39" s="4" t="s">
        <v>170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177.54845579999997</v>
      </c>
      <c r="G40" s="4" t="s">
        <v>171</v>
      </c>
      <c r="H40" s="4" t="s">
        <v>172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0</v>
      </c>
      <c r="G41" s="4" t="s">
        <v>173</v>
      </c>
      <c r="H41" s="4" t="s">
        <v>174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175</v>
      </c>
      <c r="H42" s="4" t="s">
        <v>176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177</v>
      </c>
      <c r="H43" s="4" t="s">
        <v>178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120773.75</v>
      </c>
      <c r="G44" s="4" t="s">
        <v>179</v>
      </c>
      <c r="H44" s="4" t="s">
        <v>180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61727.69</v>
      </c>
      <c r="G45" s="4" t="s">
        <v>181</v>
      </c>
      <c r="H45" s="4" t="s">
        <v>182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433145.73</v>
      </c>
      <c r="G46" s="4" t="s">
        <v>183</v>
      </c>
      <c r="H46" s="4" t="s">
        <v>184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>
      <c r="A48">
        <v>-1</v>
      </c>
    </row>
    <row r="51" spans="1:50">
      <c r="A51" s="3">
        <v>75</v>
      </c>
      <c r="B51" s="3" t="s">
        <v>435</v>
      </c>
      <c r="C51" s="3">
        <v>2026</v>
      </c>
      <c r="D51" s="3">
        <v>0</v>
      </c>
      <c r="E51" s="3">
        <v>7</v>
      </c>
      <c r="F51" s="3"/>
      <c r="G51" s="3">
        <v>0</v>
      </c>
      <c r="H51" s="3">
        <v>1</v>
      </c>
      <c r="I51" s="3">
        <v>1</v>
      </c>
      <c r="J51" s="3">
        <v>1</v>
      </c>
      <c r="K51" s="3">
        <v>0</v>
      </c>
      <c r="L51" s="3">
        <v>0</v>
      </c>
      <c r="M51" s="3">
        <v>0</v>
      </c>
      <c r="N51" s="3">
        <v>76282491</v>
      </c>
      <c r="O51" s="3">
        <v>1</v>
      </c>
    </row>
    <row r="52" spans="1:50">
      <c r="A52" s="6">
        <v>1</v>
      </c>
      <c r="B52" s="6" t="s">
        <v>436</v>
      </c>
      <c r="C52" s="6" t="s">
        <v>3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2</v>
      </c>
      <c r="J52" s="6">
        <v>1</v>
      </c>
      <c r="K52" s="6">
        <v>1</v>
      </c>
      <c r="L52" s="6">
        <v>1</v>
      </c>
      <c r="M52" s="6">
        <v>1</v>
      </c>
      <c r="N52" s="6">
        <v>1</v>
      </c>
      <c r="O52" s="6">
        <v>1</v>
      </c>
      <c r="P52" s="6">
        <v>1</v>
      </c>
      <c r="Q52" s="6">
        <v>1</v>
      </c>
      <c r="R52" s="6" t="s">
        <v>3</v>
      </c>
      <c r="S52" s="6" t="s">
        <v>3</v>
      </c>
      <c r="T52" s="6" t="s">
        <v>3</v>
      </c>
      <c r="U52" s="6" t="s">
        <v>3</v>
      </c>
      <c r="V52" s="6" t="s">
        <v>3</v>
      </c>
      <c r="W52" s="6" t="s">
        <v>3</v>
      </c>
      <c r="X52" s="6" t="s">
        <v>3</v>
      </c>
      <c r="Y52" s="6" t="s">
        <v>3</v>
      </c>
      <c r="Z52" s="6" t="s">
        <v>3</v>
      </c>
      <c r="AA52" s="6" t="s">
        <v>3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>
        <v>76282492</v>
      </c>
      <c r="AO52" s="6"/>
      <c r="AP52" s="6"/>
      <c r="AQ52" s="6"/>
      <c r="AR52" s="6"/>
      <c r="AS52" s="6"/>
      <c r="AT52" s="6"/>
      <c r="AU52" s="6"/>
      <c r="AV52" s="6"/>
      <c r="AW52" s="6"/>
      <c r="AX52" s="6"/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O305"/>
  <sheetViews>
    <sheetView workbookViewId="0"/>
  </sheetViews>
  <sheetFormatPr defaultColWidth="9.140625" defaultRowHeight="12.75"/>
  <cols>
    <col min="1" max="256" width="9.140625" customWidth="1"/>
  </cols>
  <sheetData>
    <row r="1" spans="1:119">
      <c r="A1">
        <f>ROW(Source!A33)</f>
        <v>33</v>
      </c>
      <c r="B1">
        <v>76282491</v>
      </c>
      <c r="C1">
        <v>76283693</v>
      </c>
      <c r="D1">
        <v>74065088</v>
      </c>
      <c r="E1">
        <v>1080</v>
      </c>
      <c r="F1">
        <v>1</v>
      </c>
      <c r="G1">
        <v>1082</v>
      </c>
      <c r="H1">
        <v>3</v>
      </c>
      <c r="I1" t="s">
        <v>25</v>
      </c>
      <c r="J1" t="s">
        <v>3</v>
      </c>
      <c r="K1" t="s">
        <v>26</v>
      </c>
      <c r="L1">
        <v>1346</v>
      </c>
      <c r="N1">
        <v>1009</v>
      </c>
      <c r="O1" t="s">
        <v>27</v>
      </c>
      <c r="P1" t="s">
        <v>27</v>
      </c>
      <c r="Q1">
        <v>1</v>
      </c>
      <c r="W1">
        <v>0</v>
      </c>
      <c r="X1">
        <v>-63099341</v>
      </c>
      <c r="Y1">
        <f>AT1</f>
        <v>0.1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 t="s">
        <v>3</v>
      </c>
      <c r="AT1">
        <v>0.1</v>
      </c>
      <c r="AU1" t="s">
        <v>3</v>
      </c>
      <c r="AV1">
        <v>0</v>
      </c>
      <c r="AW1">
        <v>1</v>
      </c>
      <c r="AX1">
        <v>-1</v>
      </c>
      <c r="AY1">
        <v>0</v>
      </c>
      <c r="AZ1">
        <v>0</v>
      </c>
      <c r="BA1" t="s">
        <v>3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V1">
        <v>0</v>
      </c>
      <c r="CW1">
        <v>0</v>
      </c>
      <c r="CX1">
        <f>ROUND(Y1*Source!I33,9)</f>
        <v>0.1</v>
      </c>
      <c r="CY1">
        <f>AA1</f>
        <v>0</v>
      </c>
      <c r="CZ1">
        <f>AE1</f>
        <v>0</v>
      </c>
      <c r="DA1">
        <f>AI1</f>
        <v>1</v>
      </c>
      <c r="DB1">
        <f>ROUND(ROUND(AT1*CZ1,2),6)</f>
        <v>0</v>
      </c>
      <c r="DC1">
        <f>ROUND(ROUND(AT1*AG1,2),6)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>ROUND(ROUND(AG1,2)*CX1,2)</f>
        <v>0</v>
      </c>
      <c r="DI1">
        <f>ROUND(ROUND(AH1,2)*CX1,2)</f>
        <v>0</v>
      </c>
      <c r="DJ1">
        <f>DF1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>
      <c r="A2">
        <f>ROW(Source!A33)</f>
        <v>33</v>
      </c>
      <c r="B2">
        <v>76282491</v>
      </c>
      <c r="C2">
        <v>76283693</v>
      </c>
      <c r="D2">
        <v>74081136</v>
      </c>
      <c r="E2">
        <v>1080</v>
      </c>
      <c r="F2">
        <v>1</v>
      </c>
      <c r="G2">
        <v>1082</v>
      </c>
      <c r="H2">
        <v>3</v>
      </c>
      <c r="I2" t="s">
        <v>48</v>
      </c>
      <c r="J2" t="s">
        <v>3</v>
      </c>
      <c r="K2" t="s">
        <v>49</v>
      </c>
      <c r="L2">
        <v>1354</v>
      </c>
      <c r="N2">
        <v>1010</v>
      </c>
      <c r="O2" t="s">
        <v>32</v>
      </c>
      <c r="P2" t="s">
        <v>32</v>
      </c>
      <c r="Q2">
        <v>1</v>
      </c>
      <c r="W2">
        <v>0</v>
      </c>
      <c r="X2">
        <v>1628597579</v>
      </c>
      <c r="Y2">
        <f>AT2</f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 t="s">
        <v>3</v>
      </c>
      <c r="AT2">
        <v>1</v>
      </c>
      <c r="AU2" t="s">
        <v>3</v>
      </c>
      <c r="AV2">
        <v>0</v>
      </c>
      <c r="AW2">
        <v>1</v>
      </c>
      <c r="AX2">
        <v>-1</v>
      </c>
      <c r="AY2">
        <v>0</v>
      </c>
      <c r="AZ2">
        <v>0</v>
      </c>
      <c r="BA2" t="s">
        <v>3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ROUND(Y2*Source!I33,9)</f>
        <v>1</v>
      </c>
      <c r="CY2">
        <f>AA2</f>
        <v>0</v>
      </c>
      <c r="CZ2">
        <f>AE2</f>
        <v>0</v>
      </c>
      <c r="DA2">
        <f>AI2</f>
        <v>1</v>
      </c>
      <c r="DB2">
        <f>ROUND(ROUND(AT2*CZ2,2),6)</f>
        <v>0</v>
      </c>
      <c r="DC2">
        <f>ROUND(ROUND(AT2*AG2,2),6)</f>
        <v>0</v>
      </c>
      <c r="DD2" t="s">
        <v>3</v>
      </c>
      <c r="DE2" t="s">
        <v>3</v>
      </c>
      <c r="DF2">
        <f>ROUND(ROUND(AE2,2)*CX2,2)</f>
        <v>0</v>
      </c>
      <c r="DG2">
        <f>ROUND(ROUND(AF2,2)*CX2,2)</f>
        <v>0</v>
      </c>
      <c r="DH2">
        <f>ROUND(ROUND(AG2,2)*CX2,2)</f>
        <v>0</v>
      </c>
      <c r="DI2">
        <f>ROUND(ROUND(AH2,2)*CX2,2)</f>
        <v>0</v>
      </c>
      <c r="DJ2">
        <f>DF2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05" spans="9:9">
      <c r="I30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U34"/>
  <sheetViews>
    <sheetView workbookViewId="0"/>
  </sheetViews>
  <sheetFormatPr defaultColWidth="9.140625" defaultRowHeight="12.75"/>
  <cols>
    <col min="1" max="256" width="9.140625" customWidth="1"/>
  </cols>
  <sheetData>
    <row r="1" spans="1:21">
      <c r="A1">
        <v>28</v>
      </c>
      <c r="B1">
        <v>1</v>
      </c>
      <c r="C1" t="s">
        <v>3</v>
      </c>
      <c r="D1" t="s">
        <v>438</v>
      </c>
      <c r="E1" t="s">
        <v>439</v>
      </c>
      <c r="F1" t="s">
        <v>439</v>
      </c>
      <c r="G1" t="s">
        <v>439</v>
      </c>
      <c r="H1" t="s">
        <v>3</v>
      </c>
      <c r="I1" t="s">
        <v>439</v>
      </c>
      <c r="J1" t="s">
        <v>439</v>
      </c>
      <c r="K1" t="s">
        <v>3</v>
      </c>
      <c r="L1" t="s">
        <v>3</v>
      </c>
      <c r="M1" t="s">
        <v>3</v>
      </c>
      <c r="N1" t="s">
        <v>438</v>
      </c>
      <c r="O1" t="s">
        <v>439</v>
      </c>
      <c r="P1" t="s">
        <v>3</v>
      </c>
      <c r="Q1" t="s">
        <v>3</v>
      </c>
      <c r="R1" t="s">
        <v>3</v>
      </c>
      <c r="S1" t="s">
        <v>440</v>
      </c>
      <c r="T1" t="s">
        <v>441</v>
      </c>
      <c r="U1" t="s">
        <v>442</v>
      </c>
    </row>
    <row r="2" spans="1:21">
      <c r="A2">
        <v>28</v>
      </c>
      <c r="B2">
        <v>1</v>
      </c>
      <c r="C2" t="s">
        <v>3</v>
      </c>
      <c r="D2" t="s">
        <v>60</v>
      </c>
      <c r="E2" t="s">
        <v>61</v>
      </c>
      <c r="F2" t="s">
        <v>61</v>
      </c>
      <c r="G2" t="s">
        <v>61</v>
      </c>
      <c r="H2" t="s">
        <v>3</v>
      </c>
      <c r="I2" t="s">
        <v>61</v>
      </c>
      <c r="J2" t="s">
        <v>61</v>
      </c>
      <c r="K2" t="s">
        <v>3</v>
      </c>
      <c r="L2" t="s">
        <v>3</v>
      </c>
      <c r="M2" t="s">
        <v>3</v>
      </c>
      <c r="N2" t="s">
        <v>60</v>
      </c>
      <c r="O2" t="s">
        <v>61</v>
      </c>
      <c r="P2" t="s">
        <v>3</v>
      </c>
      <c r="Q2" t="s">
        <v>3</v>
      </c>
      <c r="R2" t="s">
        <v>3</v>
      </c>
      <c r="S2" t="s">
        <v>443</v>
      </c>
      <c r="T2" t="s">
        <v>450</v>
      </c>
      <c r="U2" t="s">
        <v>444</v>
      </c>
    </row>
    <row r="3" spans="1:21">
      <c r="A3">
        <v>37</v>
      </c>
      <c r="B3">
        <v>1</v>
      </c>
      <c r="C3" t="s">
        <v>3</v>
      </c>
      <c r="D3" t="s">
        <v>60</v>
      </c>
      <c r="E3" t="s">
        <v>61</v>
      </c>
      <c r="F3" t="s">
        <v>61</v>
      </c>
      <c r="G3" t="s">
        <v>61</v>
      </c>
      <c r="H3" t="s">
        <v>3</v>
      </c>
      <c r="I3" t="s">
        <v>61</v>
      </c>
      <c r="J3" t="s">
        <v>61</v>
      </c>
      <c r="K3" t="s">
        <v>3</v>
      </c>
      <c r="L3" t="s">
        <v>3</v>
      </c>
      <c r="M3" t="s">
        <v>3</v>
      </c>
      <c r="N3" t="s">
        <v>60</v>
      </c>
      <c r="O3" t="s">
        <v>61</v>
      </c>
      <c r="P3" t="s">
        <v>3</v>
      </c>
      <c r="Q3" t="s">
        <v>3</v>
      </c>
      <c r="R3" t="s">
        <v>3</v>
      </c>
      <c r="S3" t="s">
        <v>443</v>
      </c>
      <c r="T3" t="s">
        <v>450</v>
      </c>
      <c r="U3" t="s">
        <v>444</v>
      </c>
    </row>
    <row r="4" spans="1:21">
      <c r="A4">
        <v>42</v>
      </c>
      <c r="B4">
        <v>1</v>
      </c>
      <c r="C4" t="s">
        <v>3</v>
      </c>
      <c r="D4" t="s">
        <v>60</v>
      </c>
      <c r="E4" t="s">
        <v>61</v>
      </c>
      <c r="F4" t="s">
        <v>61</v>
      </c>
      <c r="G4" t="s">
        <v>61</v>
      </c>
      <c r="H4" t="s">
        <v>3</v>
      </c>
      <c r="I4" t="s">
        <v>61</v>
      </c>
      <c r="J4" t="s">
        <v>61</v>
      </c>
      <c r="K4" t="s">
        <v>3</v>
      </c>
      <c r="L4" t="s">
        <v>3</v>
      </c>
      <c r="M4" t="s">
        <v>3</v>
      </c>
      <c r="N4" t="s">
        <v>60</v>
      </c>
      <c r="O4" t="s">
        <v>61</v>
      </c>
      <c r="P4" t="s">
        <v>3</v>
      </c>
      <c r="Q4" t="s">
        <v>3</v>
      </c>
      <c r="R4" t="s">
        <v>3</v>
      </c>
      <c r="S4" t="s">
        <v>443</v>
      </c>
      <c r="T4" t="s">
        <v>450</v>
      </c>
      <c r="U4" t="s">
        <v>444</v>
      </c>
    </row>
    <row r="5" spans="1:21">
      <c r="A5">
        <v>48</v>
      </c>
      <c r="B5">
        <v>1</v>
      </c>
      <c r="C5" t="s">
        <v>3</v>
      </c>
      <c r="D5" t="s">
        <v>60</v>
      </c>
      <c r="E5" t="s">
        <v>61</v>
      </c>
      <c r="F5" t="s">
        <v>61</v>
      </c>
      <c r="G5" t="s">
        <v>61</v>
      </c>
      <c r="H5" t="s">
        <v>3</v>
      </c>
      <c r="I5" t="s">
        <v>61</v>
      </c>
      <c r="J5" t="s">
        <v>61</v>
      </c>
      <c r="K5" t="s">
        <v>3</v>
      </c>
      <c r="L5" t="s">
        <v>3</v>
      </c>
      <c r="M5" t="s">
        <v>3</v>
      </c>
      <c r="N5" t="s">
        <v>60</v>
      </c>
      <c r="O5" t="s">
        <v>61</v>
      </c>
      <c r="P5" t="s">
        <v>3</v>
      </c>
      <c r="Q5" t="s">
        <v>3</v>
      </c>
      <c r="R5" t="s">
        <v>3</v>
      </c>
      <c r="S5" t="s">
        <v>443</v>
      </c>
      <c r="T5" t="s">
        <v>450</v>
      </c>
      <c r="U5" t="s">
        <v>444</v>
      </c>
    </row>
    <row r="6" spans="1:21">
      <c r="A6">
        <v>50</v>
      </c>
      <c r="B6">
        <v>1</v>
      </c>
      <c r="C6" t="s">
        <v>3</v>
      </c>
      <c r="D6" t="s">
        <v>60</v>
      </c>
      <c r="E6" t="s">
        <v>61</v>
      </c>
      <c r="F6" t="s">
        <v>61</v>
      </c>
      <c r="G6" t="s">
        <v>61</v>
      </c>
      <c r="H6" t="s">
        <v>3</v>
      </c>
      <c r="I6" t="s">
        <v>61</v>
      </c>
      <c r="J6" t="s">
        <v>61</v>
      </c>
      <c r="K6" t="s">
        <v>3</v>
      </c>
      <c r="L6" t="s">
        <v>3</v>
      </c>
      <c r="M6" t="s">
        <v>3</v>
      </c>
      <c r="N6" t="s">
        <v>60</v>
      </c>
      <c r="O6" t="s">
        <v>61</v>
      </c>
      <c r="P6" t="s">
        <v>3</v>
      </c>
      <c r="Q6" t="s">
        <v>3</v>
      </c>
      <c r="R6" t="s">
        <v>3</v>
      </c>
      <c r="S6" t="s">
        <v>443</v>
      </c>
      <c r="T6" t="s">
        <v>450</v>
      </c>
      <c r="U6" t="s">
        <v>444</v>
      </c>
    </row>
    <row r="7" spans="1:21">
      <c r="A7">
        <v>95</v>
      </c>
      <c r="B7">
        <v>1</v>
      </c>
      <c r="C7" t="s">
        <v>3</v>
      </c>
      <c r="D7" t="s">
        <v>60</v>
      </c>
      <c r="E7" t="s">
        <v>61</v>
      </c>
      <c r="F7" t="s">
        <v>61</v>
      </c>
      <c r="G7" t="s">
        <v>61</v>
      </c>
      <c r="H7" t="s">
        <v>3</v>
      </c>
      <c r="I7" t="s">
        <v>61</v>
      </c>
      <c r="J7" t="s">
        <v>61</v>
      </c>
      <c r="K7" t="s">
        <v>3</v>
      </c>
      <c r="L7" t="s">
        <v>3</v>
      </c>
      <c r="M7" t="s">
        <v>3</v>
      </c>
      <c r="N7" t="s">
        <v>60</v>
      </c>
      <c r="O7" t="s">
        <v>61</v>
      </c>
      <c r="P7" t="s">
        <v>3</v>
      </c>
      <c r="Q7" t="s">
        <v>3</v>
      </c>
      <c r="R7" t="s">
        <v>3</v>
      </c>
      <c r="S7" t="s">
        <v>443</v>
      </c>
      <c r="T7" t="s">
        <v>450</v>
      </c>
      <c r="U7" t="s">
        <v>444</v>
      </c>
    </row>
    <row r="8" spans="1:21">
      <c r="A8">
        <v>98</v>
      </c>
      <c r="B8">
        <v>1</v>
      </c>
      <c r="C8" t="s">
        <v>3</v>
      </c>
      <c r="D8" t="s">
        <v>60</v>
      </c>
      <c r="E8" t="s">
        <v>61</v>
      </c>
      <c r="F8" t="s">
        <v>61</v>
      </c>
      <c r="G8" t="s">
        <v>61</v>
      </c>
      <c r="H8" t="s">
        <v>3</v>
      </c>
      <c r="I8" t="s">
        <v>61</v>
      </c>
      <c r="J8" t="s">
        <v>61</v>
      </c>
      <c r="K8" t="s">
        <v>3</v>
      </c>
      <c r="L8" t="s">
        <v>3</v>
      </c>
      <c r="M8" t="s">
        <v>3</v>
      </c>
      <c r="N8" t="s">
        <v>60</v>
      </c>
      <c r="O8" t="s">
        <v>61</v>
      </c>
      <c r="P8" t="s">
        <v>3</v>
      </c>
      <c r="Q8" t="s">
        <v>3</v>
      </c>
      <c r="R8" t="s">
        <v>3</v>
      </c>
      <c r="S8" t="s">
        <v>443</v>
      </c>
      <c r="T8" t="s">
        <v>450</v>
      </c>
      <c r="U8" t="s">
        <v>444</v>
      </c>
    </row>
    <row r="9" spans="1:21">
      <c r="A9">
        <v>104</v>
      </c>
      <c r="B9">
        <v>1</v>
      </c>
      <c r="C9" t="s">
        <v>3</v>
      </c>
      <c r="D9" t="s">
        <v>60</v>
      </c>
      <c r="E9" t="s">
        <v>61</v>
      </c>
      <c r="F9" t="s">
        <v>61</v>
      </c>
      <c r="G9" t="s">
        <v>61</v>
      </c>
      <c r="H9" t="s">
        <v>3</v>
      </c>
      <c r="I9" t="s">
        <v>61</v>
      </c>
      <c r="J9" t="s">
        <v>61</v>
      </c>
      <c r="K9" t="s">
        <v>3</v>
      </c>
      <c r="L9" t="s">
        <v>3</v>
      </c>
      <c r="M9" t="s">
        <v>3</v>
      </c>
      <c r="N9" t="s">
        <v>60</v>
      </c>
      <c r="O9" t="s">
        <v>61</v>
      </c>
      <c r="P9" t="s">
        <v>3</v>
      </c>
      <c r="Q9" t="s">
        <v>3</v>
      </c>
      <c r="R9" t="s">
        <v>3</v>
      </c>
      <c r="S9" t="s">
        <v>443</v>
      </c>
      <c r="T9" t="s">
        <v>450</v>
      </c>
      <c r="U9" t="s">
        <v>444</v>
      </c>
    </row>
    <row r="10" spans="1:21">
      <c r="A10">
        <v>113</v>
      </c>
      <c r="B10">
        <v>1</v>
      </c>
      <c r="C10" t="s">
        <v>3</v>
      </c>
      <c r="D10" t="s">
        <v>60</v>
      </c>
      <c r="E10" t="s">
        <v>61</v>
      </c>
      <c r="F10" t="s">
        <v>61</v>
      </c>
      <c r="G10" t="s">
        <v>61</v>
      </c>
      <c r="H10" t="s">
        <v>3</v>
      </c>
      <c r="I10" t="s">
        <v>61</v>
      </c>
      <c r="J10" t="s">
        <v>61</v>
      </c>
      <c r="K10" t="s">
        <v>3</v>
      </c>
      <c r="L10" t="s">
        <v>3</v>
      </c>
      <c r="M10" t="s">
        <v>3</v>
      </c>
      <c r="N10" t="s">
        <v>60</v>
      </c>
      <c r="O10" t="s">
        <v>61</v>
      </c>
      <c r="P10" t="s">
        <v>3</v>
      </c>
      <c r="Q10" t="s">
        <v>3</v>
      </c>
      <c r="R10" t="s">
        <v>3</v>
      </c>
      <c r="S10" t="s">
        <v>443</v>
      </c>
      <c r="T10" t="s">
        <v>450</v>
      </c>
      <c r="U10" t="s">
        <v>444</v>
      </c>
    </row>
    <row r="11" spans="1:21">
      <c r="A11">
        <v>116</v>
      </c>
      <c r="B11">
        <v>1</v>
      </c>
      <c r="C11" t="s">
        <v>3</v>
      </c>
      <c r="D11" t="s">
        <v>60</v>
      </c>
      <c r="E11" t="s">
        <v>61</v>
      </c>
      <c r="F11" t="s">
        <v>61</v>
      </c>
      <c r="G11" t="s">
        <v>61</v>
      </c>
      <c r="H11" t="s">
        <v>3</v>
      </c>
      <c r="I11" t="s">
        <v>61</v>
      </c>
      <c r="J11" t="s">
        <v>61</v>
      </c>
      <c r="K11" t="s">
        <v>3</v>
      </c>
      <c r="L11" t="s">
        <v>3</v>
      </c>
      <c r="M11" t="s">
        <v>3</v>
      </c>
      <c r="N11" t="s">
        <v>60</v>
      </c>
      <c r="O11" t="s">
        <v>61</v>
      </c>
      <c r="P11" t="s">
        <v>3</v>
      </c>
      <c r="Q11" t="s">
        <v>3</v>
      </c>
      <c r="R11" t="s">
        <v>3</v>
      </c>
      <c r="S11" t="s">
        <v>443</v>
      </c>
      <c r="T11" t="s">
        <v>450</v>
      </c>
      <c r="U11" t="s">
        <v>444</v>
      </c>
    </row>
    <row r="12" spans="1:21">
      <c r="A12">
        <v>118</v>
      </c>
      <c r="B12">
        <v>1</v>
      </c>
      <c r="C12" t="s">
        <v>3</v>
      </c>
      <c r="D12" t="s">
        <v>60</v>
      </c>
      <c r="E12" t="s">
        <v>61</v>
      </c>
      <c r="F12" t="s">
        <v>61</v>
      </c>
      <c r="G12" t="s">
        <v>61</v>
      </c>
      <c r="H12" t="s">
        <v>3</v>
      </c>
      <c r="I12" t="s">
        <v>61</v>
      </c>
      <c r="J12" t="s">
        <v>61</v>
      </c>
      <c r="K12" t="s">
        <v>3</v>
      </c>
      <c r="L12" t="s">
        <v>3</v>
      </c>
      <c r="M12" t="s">
        <v>3</v>
      </c>
      <c r="N12" t="s">
        <v>60</v>
      </c>
      <c r="O12" t="s">
        <v>61</v>
      </c>
      <c r="P12" t="s">
        <v>3</v>
      </c>
      <c r="Q12" t="s">
        <v>3</v>
      </c>
      <c r="R12" t="s">
        <v>3</v>
      </c>
      <c r="S12" t="s">
        <v>443</v>
      </c>
      <c r="T12" t="s">
        <v>450</v>
      </c>
      <c r="U12" t="s">
        <v>444</v>
      </c>
    </row>
    <row r="13" spans="1:21">
      <c r="A13">
        <v>160</v>
      </c>
      <c r="B13">
        <v>1</v>
      </c>
      <c r="C13" t="s">
        <v>3</v>
      </c>
      <c r="D13" t="s">
        <v>60</v>
      </c>
      <c r="E13" t="s">
        <v>61</v>
      </c>
      <c r="F13" t="s">
        <v>61</v>
      </c>
      <c r="G13" t="s">
        <v>61</v>
      </c>
      <c r="H13" t="s">
        <v>3</v>
      </c>
      <c r="I13" t="s">
        <v>61</v>
      </c>
      <c r="J13" t="s">
        <v>61</v>
      </c>
      <c r="K13" t="s">
        <v>3</v>
      </c>
      <c r="L13" t="s">
        <v>3</v>
      </c>
      <c r="M13" t="s">
        <v>3</v>
      </c>
      <c r="N13" t="s">
        <v>60</v>
      </c>
      <c r="O13" t="s">
        <v>61</v>
      </c>
      <c r="P13" t="s">
        <v>3</v>
      </c>
      <c r="Q13" t="s">
        <v>3</v>
      </c>
      <c r="R13" t="s">
        <v>3</v>
      </c>
      <c r="S13" t="s">
        <v>443</v>
      </c>
      <c r="T13" t="s">
        <v>450</v>
      </c>
      <c r="U13" t="s">
        <v>444</v>
      </c>
    </row>
    <row r="14" spans="1:21">
      <c r="A14">
        <v>165</v>
      </c>
      <c r="B14">
        <v>1</v>
      </c>
      <c r="C14" t="s">
        <v>3</v>
      </c>
      <c r="D14" t="s">
        <v>60</v>
      </c>
      <c r="E14" t="s">
        <v>61</v>
      </c>
      <c r="F14" t="s">
        <v>61</v>
      </c>
      <c r="G14" t="s">
        <v>61</v>
      </c>
      <c r="H14" t="s">
        <v>3</v>
      </c>
      <c r="I14" t="s">
        <v>61</v>
      </c>
      <c r="J14" t="s">
        <v>61</v>
      </c>
      <c r="K14" t="s">
        <v>3</v>
      </c>
      <c r="L14" t="s">
        <v>3</v>
      </c>
      <c r="M14" t="s">
        <v>3</v>
      </c>
      <c r="N14" t="s">
        <v>60</v>
      </c>
      <c r="O14" t="s">
        <v>61</v>
      </c>
      <c r="P14" t="s">
        <v>3</v>
      </c>
      <c r="Q14" t="s">
        <v>3</v>
      </c>
      <c r="R14" t="s">
        <v>3</v>
      </c>
      <c r="S14" t="s">
        <v>443</v>
      </c>
      <c r="T14" t="s">
        <v>450</v>
      </c>
      <c r="U14" t="s">
        <v>444</v>
      </c>
    </row>
    <row r="15" spans="1:21">
      <c r="A15">
        <v>165</v>
      </c>
      <c r="B15">
        <v>1</v>
      </c>
      <c r="C15" t="s">
        <v>3</v>
      </c>
      <c r="D15" t="s">
        <v>60</v>
      </c>
      <c r="E15" t="s">
        <v>60</v>
      </c>
      <c r="F15" t="s">
        <v>60</v>
      </c>
      <c r="G15" t="s">
        <v>445</v>
      </c>
      <c r="H15" t="s">
        <v>3</v>
      </c>
      <c r="I15" t="s">
        <v>445</v>
      </c>
      <c r="J15" t="s">
        <v>60</v>
      </c>
      <c r="K15" t="s">
        <v>3</v>
      </c>
      <c r="L15" t="s">
        <v>3</v>
      </c>
      <c r="M15" t="s">
        <v>3</v>
      </c>
      <c r="N15" t="s">
        <v>60</v>
      </c>
      <c r="O15" t="s">
        <v>60</v>
      </c>
      <c r="P15" t="s">
        <v>3</v>
      </c>
      <c r="Q15" t="s">
        <v>3</v>
      </c>
      <c r="R15" t="s">
        <v>3</v>
      </c>
      <c r="S15" t="s">
        <v>446</v>
      </c>
      <c r="T15" t="s">
        <v>447</v>
      </c>
      <c r="U15" t="s">
        <v>448</v>
      </c>
    </row>
    <row r="16" spans="1:21">
      <c r="A16">
        <v>169</v>
      </c>
      <c r="B16">
        <v>1</v>
      </c>
      <c r="C16" t="s">
        <v>3</v>
      </c>
      <c r="D16" t="s">
        <v>60</v>
      </c>
      <c r="E16" t="s">
        <v>61</v>
      </c>
      <c r="F16" t="s">
        <v>61</v>
      </c>
      <c r="G16" t="s">
        <v>61</v>
      </c>
      <c r="H16" t="s">
        <v>3</v>
      </c>
      <c r="I16" t="s">
        <v>61</v>
      </c>
      <c r="J16" t="s">
        <v>61</v>
      </c>
      <c r="K16" t="s">
        <v>3</v>
      </c>
      <c r="L16" t="s">
        <v>3</v>
      </c>
      <c r="M16" t="s">
        <v>3</v>
      </c>
      <c r="N16" t="s">
        <v>60</v>
      </c>
      <c r="O16" t="s">
        <v>61</v>
      </c>
      <c r="P16" t="s">
        <v>3</v>
      </c>
      <c r="Q16" t="s">
        <v>3</v>
      </c>
      <c r="R16" t="s">
        <v>3</v>
      </c>
      <c r="S16" t="s">
        <v>443</v>
      </c>
      <c r="T16" t="s">
        <v>450</v>
      </c>
      <c r="U16" t="s">
        <v>444</v>
      </c>
    </row>
    <row r="17" spans="1:21">
      <c r="A17">
        <v>169</v>
      </c>
      <c r="B17">
        <v>1</v>
      </c>
      <c r="C17" t="s">
        <v>3</v>
      </c>
      <c r="D17" t="s">
        <v>60</v>
      </c>
      <c r="E17" t="s">
        <v>60</v>
      </c>
      <c r="F17" t="s">
        <v>60</v>
      </c>
      <c r="G17" t="s">
        <v>445</v>
      </c>
      <c r="H17" t="s">
        <v>3</v>
      </c>
      <c r="I17" t="s">
        <v>445</v>
      </c>
      <c r="J17" t="s">
        <v>60</v>
      </c>
      <c r="K17" t="s">
        <v>3</v>
      </c>
      <c r="L17" t="s">
        <v>3</v>
      </c>
      <c r="M17" t="s">
        <v>3</v>
      </c>
      <c r="N17" t="s">
        <v>60</v>
      </c>
      <c r="O17" t="s">
        <v>60</v>
      </c>
      <c r="P17" t="s">
        <v>3</v>
      </c>
      <c r="Q17" t="s">
        <v>3</v>
      </c>
      <c r="R17" t="s">
        <v>3</v>
      </c>
      <c r="S17" t="s">
        <v>446</v>
      </c>
      <c r="T17" t="s">
        <v>447</v>
      </c>
      <c r="U17" t="s">
        <v>448</v>
      </c>
    </row>
    <row r="18" spans="1:21">
      <c r="A18">
        <v>174</v>
      </c>
      <c r="B18">
        <v>1</v>
      </c>
      <c r="C18" t="s">
        <v>3</v>
      </c>
      <c r="D18" t="s">
        <v>60</v>
      </c>
      <c r="E18" t="s">
        <v>61</v>
      </c>
      <c r="F18" t="s">
        <v>61</v>
      </c>
      <c r="G18" t="s">
        <v>61</v>
      </c>
      <c r="H18" t="s">
        <v>3</v>
      </c>
      <c r="I18" t="s">
        <v>61</v>
      </c>
      <c r="J18" t="s">
        <v>61</v>
      </c>
      <c r="K18" t="s">
        <v>3</v>
      </c>
      <c r="L18" t="s">
        <v>3</v>
      </c>
      <c r="M18" t="s">
        <v>3</v>
      </c>
      <c r="N18" t="s">
        <v>60</v>
      </c>
      <c r="O18" t="s">
        <v>61</v>
      </c>
      <c r="P18" t="s">
        <v>3</v>
      </c>
      <c r="Q18" t="s">
        <v>3</v>
      </c>
      <c r="R18" t="s">
        <v>3</v>
      </c>
      <c r="S18" t="s">
        <v>443</v>
      </c>
      <c r="T18" t="s">
        <v>450</v>
      </c>
      <c r="U18" t="s">
        <v>444</v>
      </c>
    </row>
    <row r="19" spans="1:21">
      <c r="A19">
        <v>177</v>
      </c>
      <c r="B19">
        <v>1</v>
      </c>
      <c r="C19" t="s">
        <v>3</v>
      </c>
      <c r="D19" t="s">
        <v>60</v>
      </c>
      <c r="E19" t="s">
        <v>61</v>
      </c>
      <c r="F19" t="s">
        <v>61</v>
      </c>
      <c r="G19" t="s">
        <v>61</v>
      </c>
      <c r="H19" t="s">
        <v>3</v>
      </c>
      <c r="I19" t="s">
        <v>61</v>
      </c>
      <c r="J19" t="s">
        <v>61</v>
      </c>
      <c r="K19" t="s">
        <v>3</v>
      </c>
      <c r="L19" t="s">
        <v>3</v>
      </c>
      <c r="M19" t="s">
        <v>3</v>
      </c>
      <c r="N19" t="s">
        <v>60</v>
      </c>
      <c r="O19" t="s">
        <v>61</v>
      </c>
      <c r="P19" t="s">
        <v>3</v>
      </c>
      <c r="Q19" t="s">
        <v>3</v>
      </c>
      <c r="R19" t="s">
        <v>3</v>
      </c>
      <c r="S19" t="s">
        <v>443</v>
      </c>
      <c r="T19" t="s">
        <v>450</v>
      </c>
      <c r="U19" t="s">
        <v>444</v>
      </c>
    </row>
    <row r="20" spans="1:21">
      <c r="A20">
        <v>177</v>
      </c>
      <c r="B20">
        <v>1</v>
      </c>
      <c r="C20" t="s">
        <v>3</v>
      </c>
      <c r="D20" t="s">
        <v>60</v>
      </c>
      <c r="E20" t="s">
        <v>60</v>
      </c>
      <c r="F20" t="s">
        <v>60</v>
      </c>
      <c r="G20" t="s">
        <v>445</v>
      </c>
      <c r="H20" t="s">
        <v>3</v>
      </c>
      <c r="I20" t="s">
        <v>445</v>
      </c>
      <c r="J20" t="s">
        <v>60</v>
      </c>
      <c r="K20" t="s">
        <v>3</v>
      </c>
      <c r="L20" t="s">
        <v>3</v>
      </c>
      <c r="M20" t="s">
        <v>3</v>
      </c>
      <c r="N20" t="s">
        <v>60</v>
      </c>
      <c r="O20" t="s">
        <v>60</v>
      </c>
      <c r="P20" t="s">
        <v>3</v>
      </c>
      <c r="Q20" t="s">
        <v>3</v>
      </c>
      <c r="R20" t="s">
        <v>3</v>
      </c>
      <c r="S20" t="s">
        <v>446</v>
      </c>
      <c r="T20" t="s">
        <v>447</v>
      </c>
      <c r="U20" t="s">
        <v>448</v>
      </c>
    </row>
    <row r="21" spans="1:21">
      <c r="A21">
        <v>185</v>
      </c>
      <c r="B21">
        <v>1</v>
      </c>
      <c r="C21" t="s">
        <v>3</v>
      </c>
      <c r="D21" t="s">
        <v>60</v>
      </c>
      <c r="E21" t="s">
        <v>61</v>
      </c>
      <c r="F21" t="s">
        <v>61</v>
      </c>
      <c r="G21" t="s">
        <v>61</v>
      </c>
      <c r="H21" t="s">
        <v>3</v>
      </c>
      <c r="I21" t="s">
        <v>61</v>
      </c>
      <c r="J21" t="s">
        <v>61</v>
      </c>
      <c r="K21" t="s">
        <v>3</v>
      </c>
      <c r="L21" t="s">
        <v>3</v>
      </c>
      <c r="M21" t="s">
        <v>3</v>
      </c>
      <c r="N21" t="s">
        <v>60</v>
      </c>
      <c r="O21" t="s">
        <v>61</v>
      </c>
      <c r="P21" t="s">
        <v>3</v>
      </c>
      <c r="Q21" t="s">
        <v>3</v>
      </c>
      <c r="R21" t="s">
        <v>3</v>
      </c>
      <c r="S21" t="s">
        <v>443</v>
      </c>
      <c r="T21" t="s">
        <v>450</v>
      </c>
      <c r="U21" t="s">
        <v>444</v>
      </c>
    </row>
    <row r="22" spans="1:21">
      <c r="A22">
        <v>185</v>
      </c>
      <c r="B22">
        <v>1</v>
      </c>
      <c r="C22" t="s">
        <v>3</v>
      </c>
      <c r="D22" t="s">
        <v>60</v>
      </c>
      <c r="E22" t="s">
        <v>60</v>
      </c>
      <c r="F22" t="s">
        <v>60</v>
      </c>
      <c r="G22" t="s">
        <v>445</v>
      </c>
      <c r="H22" t="s">
        <v>3</v>
      </c>
      <c r="I22" t="s">
        <v>445</v>
      </c>
      <c r="J22" t="s">
        <v>60</v>
      </c>
      <c r="K22" t="s">
        <v>3</v>
      </c>
      <c r="L22" t="s">
        <v>3</v>
      </c>
      <c r="M22" t="s">
        <v>3</v>
      </c>
      <c r="N22" t="s">
        <v>60</v>
      </c>
      <c r="O22" t="s">
        <v>60</v>
      </c>
      <c r="P22" t="s">
        <v>3</v>
      </c>
      <c r="Q22" t="s">
        <v>3</v>
      </c>
      <c r="R22" t="s">
        <v>3</v>
      </c>
      <c r="S22" t="s">
        <v>446</v>
      </c>
      <c r="T22" t="s">
        <v>447</v>
      </c>
      <c r="U22" t="s">
        <v>448</v>
      </c>
    </row>
    <row r="23" spans="1:21">
      <c r="A23">
        <v>187</v>
      </c>
      <c r="B23">
        <v>1</v>
      </c>
      <c r="C23" t="s">
        <v>3</v>
      </c>
      <c r="D23" t="s">
        <v>60</v>
      </c>
      <c r="E23" t="s">
        <v>61</v>
      </c>
      <c r="F23" t="s">
        <v>61</v>
      </c>
      <c r="G23" t="s">
        <v>61</v>
      </c>
      <c r="H23" t="s">
        <v>3</v>
      </c>
      <c r="I23" t="s">
        <v>61</v>
      </c>
      <c r="J23" t="s">
        <v>61</v>
      </c>
      <c r="K23" t="s">
        <v>3</v>
      </c>
      <c r="L23" t="s">
        <v>3</v>
      </c>
      <c r="M23" t="s">
        <v>3</v>
      </c>
      <c r="N23" t="s">
        <v>60</v>
      </c>
      <c r="O23" t="s">
        <v>61</v>
      </c>
      <c r="P23" t="s">
        <v>3</v>
      </c>
      <c r="Q23" t="s">
        <v>3</v>
      </c>
      <c r="R23" t="s">
        <v>3</v>
      </c>
      <c r="S23" t="s">
        <v>443</v>
      </c>
      <c r="T23" t="s">
        <v>450</v>
      </c>
      <c r="U23" t="s">
        <v>444</v>
      </c>
    </row>
    <row r="24" spans="1:21">
      <c r="A24">
        <v>187</v>
      </c>
      <c r="B24">
        <v>1</v>
      </c>
      <c r="C24" t="s">
        <v>3</v>
      </c>
      <c r="D24" t="s">
        <v>60</v>
      </c>
      <c r="E24" t="s">
        <v>60</v>
      </c>
      <c r="F24" t="s">
        <v>60</v>
      </c>
      <c r="G24" t="s">
        <v>445</v>
      </c>
      <c r="H24" t="s">
        <v>3</v>
      </c>
      <c r="I24" t="s">
        <v>445</v>
      </c>
      <c r="J24" t="s">
        <v>60</v>
      </c>
      <c r="K24" t="s">
        <v>3</v>
      </c>
      <c r="L24" t="s">
        <v>3</v>
      </c>
      <c r="M24" t="s">
        <v>3</v>
      </c>
      <c r="N24" t="s">
        <v>60</v>
      </c>
      <c r="O24" t="s">
        <v>60</v>
      </c>
      <c r="P24" t="s">
        <v>3</v>
      </c>
      <c r="Q24" t="s">
        <v>3</v>
      </c>
      <c r="R24" t="s">
        <v>3</v>
      </c>
      <c r="S24" t="s">
        <v>446</v>
      </c>
      <c r="T24" t="s">
        <v>447</v>
      </c>
      <c r="U24" t="s">
        <v>448</v>
      </c>
    </row>
    <row r="25" spans="1:21">
      <c r="A25">
        <v>190</v>
      </c>
      <c r="B25">
        <v>1</v>
      </c>
      <c r="C25" t="s">
        <v>3</v>
      </c>
      <c r="D25" t="s">
        <v>60</v>
      </c>
      <c r="E25" t="s">
        <v>61</v>
      </c>
      <c r="F25" t="s">
        <v>61</v>
      </c>
      <c r="G25" t="s">
        <v>61</v>
      </c>
      <c r="H25" t="s">
        <v>3</v>
      </c>
      <c r="I25" t="s">
        <v>61</v>
      </c>
      <c r="J25" t="s">
        <v>61</v>
      </c>
      <c r="K25" t="s">
        <v>3</v>
      </c>
      <c r="L25" t="s">
        <v>3</v>
      </c>
      <c r="M25" t="s">
        <v>3</v>
      </c>
      <c r="N25" t="s">
        <v>60</v>
      </c>
      <c r="O25" t="s">
        <v>61</v>
      </c>
      <c r="P25" t="s">
        <v>3</v>
      </c>
      <c r="Q25" t="s">
        <v>3</v>
      </c>
      <c r="R25" t="s">
        <v>3</v>
      </c>
      <c r="S25" t="s">
        <v>443</v>
      </c>
      <c r="T25" t="s">
        <v>450</v>
      </c>
      <c r="U25" t="s">
        <v>444</v>
      </c>
    </row>
    <row r="26" spans="1:21">
      <c r="A26">
        <v>190</v>
      </c>
      <c r="B26">
        <v>1</v>
      </c>
      <c r="C26" t="s">
        <v>3</v>
      </c>
      <c r="D26" t="s">
        <v>60</v>
      </c>
      <c r="E26" t="s">
        <v>60</v>
      </c>
      <c r="F26" t="s">
        <v>60</v>
      </c>
      <c r="G26" t="s">
        <v>445</v>
      </c>
      <c r="H26" t="s">
        <v>3</v>
      </c>
      <c r="I26" t="s">
        <v>445</v>
      </c>
      <c r="J26" t="s">
        <v>60</v>
      </c>
      <c r="K26" t="s">
        <v>3</v>
      </c>
      <c r="L26" t="s">
        <v>3</v>
      </c>
      <c r="M26" t="s">
        <v>3</v>
      </c>
      <c r="N26" t="s">
        <v>60</v>
      </c>
      <c r="O26" t="s">
        <v>60</v>
      </c>
      <c r="P26" t="s">
        <v>3</v>
      </c>
      <c r="Q26" t="s">
        <v>3</v>
      </c>
      <c r="R26" t="s">
        <v>3</v>
      </c>
      <c r="S26" t="s">
        <v>446</v>
      </c>
      <c r="T26" t="s">
        <v>447</v>
      </c>
      <c r="U26" t="s">
        <v>448</v>
      </c>
    </row>
    <row r="27" spans="1:21">
      <c r="A27">
        <v>193</v>
      </c>
      <c r="B27">
        <v>1</v>
      </c>
      <c r="C27" t="s">
        <v>3</v>
      </c>
      <c r="D27" t="s">
        <v>60</v>
      </c>
      <c r="E27" t="s">
        <v>61</v>
      </c>
      <c r="F27" t="s">
        <v>61</v>
      </c>
      <c r="G27" t="s">
        <v>61</v>
      </c>
      <c r="H27" t="s">
        <v>3</v>
      </c>
      <c r="I27" t="s">
        <v>61</v>
      </c>
      <c r="J27" t="s">
        <v>61</v>
      </c>
      <c r="K27" t="s">
        <v>3</v>
      </c>
      <c r="L27" t="s">
        <v>3</v>
      </c>
      <c r="M27" t="s">
        <v>3</v>
      </c>
      <c r="N27" t="s">
        <v>60</v>
      </c>
      <c r="O27" t="s">
        <v>61</v>
      </c>
      <c r="P27" t="s">
        <v>3</v>
      </c>
      <c r="Q27" t="s">
        <v>3</v>
      </c>
      <c r="R27" t="s">
        <v>3</v>
      </c>
      <c r="S27" t="s">
        <v>443</v>
      </c>
      <c r="T27" t="s">
        <v>450</v>
      </c>
      <c r="U27" t="s">
        <v>444</v>
      </c>
    </row>
    <row r="28" spans="1:21">
      <c r="A28">
        <v>193</v>
      </c>
      <c r="B28">
        <v>1</v>
      </c>
      <c r="C28" t="s">
        <v>3</v>
      </c>
      <c r="D28" t="s">
        <v>60</v>
      </c>
      <c r="E28" t="s">
        <v>60</v>
      </c>
      <c r="F28" t="s">
        <v>60</v>
      </c>
      <c r="G28" t="s">
        <v>445</v>
      </c>
      <c r="H28" t="s">
        <v>3</v>
      </c>
      <c r="I28" t="s">
        <v>445</v>
      </c>
      <c r="J28" t="s">
        <v>60</v>
      </c>
      <c r="K28" t="s">
        <v>3</v>
      </c>
      <c r="L28" t="s">
        <v>3</v>
      </c>
      <c r="M28" t="s">
        <v>3</v>
      </c>
      <c r="N28" t="s">
        <v>60</v>
      </c>
      <c r="O28" t="s">
        <v>60</v>
      </c>
      <c r="P28" t="s">
        <v>3</v>
      </c>
      <c r="Q28" t="s">
        <v>3</v>
      </c>
      <c r="R28" t="s">
        <v>3</v>
      </c>
      <c r="S28" t="s">
        <v>446</v>
      </c>
      <c r="T28" t="s">
        <v>447</v>
      </c>
      <c r="U28" t="s">
        <v>448</v>
      </c>
    </row>
    <row r="29" spans="1:21">
      <c r="A29">
        <v>195</v>
      </c>
      <c r="B29">
        <v>1</v>
      </c>
      <c r="C29" t="s">
        <v>3</v>
      </c>
      <c r="D29" t="s">
        <v>60</v>
      </c>
      <c r="E29" t="s">
        <v>61</v>
      </c>
      <c r="F29" t="s">
        <v>61</v>
      </c>
      <c r="G29" t="s">
        <v>61</v>
      </c>
      <c r="H29" t="s">
        <v>3</v>
      </c>
      <c r="I29" t="s">
        <v>61</v>
      </c>
      <c r="J29" t="s">
        <v>61</v>
      </c>
      <c r="K29" t="s">
        <v>3</v>
      </c>
      <c r="L29" t="s">
        <v>3</v>
      </c>
      <c r="M29" t="s">
        <v>3</v>
      </c>
      <c r="N29" t="s">
        <v>60</v>
      </c>
      <c r="O29" t="s">
        <v>61</v>
      </c>
      <c r="P29" t="s">
        <v>3</v>
      </c>
      <c r="Q29" t="s">
        <v>3</v>
      </c>
      <c r="R29" t="s">
        <v>3</v>
      </c>
      <c r="S29" t="s">
        <v>443</v>
      </c>
      <c r="T29" t="s">
        <v>450</v>
      </c>
      <c r="U29" t="s">
        <v>444</v>
      </c>
    </row>
    <row r="30" spans="1:21">
      <c r="A30">
        <v>196</v>
      </c>
      <c r="B30">
        <v>1</v>
      </c>
      <c r="C30" t="s">
        <v>3</v>
      </c>
      <c r="D30" t="s">
        <v>60</v>
      </c>
      <c r="E30" t="s">
        <v>61</v>
      </c>
      <c r="F30" t="s">
        <v>61</v>
      </c>
      <c r="G30" t="s">
        <v>61</v>
      </c>
      <c r="H30" t="s">
        <v>3</v>
      </c>
      <c r="I30" t="s">
        <v>61</v>
      </c>
      <c r="J30" t="s">
        <v>61</v>
      </c>
      <c r="K30" t="s">
        <v>3</v>
      </c>
      <c r="L30" t="s">
        <v>3</v>
      </c>
      <c r="M30" t="s">
        <v>3</v>
      </c>
      <c r="N30" t="s">
        <v>60</v>
      </c>
      <c r="O30" t="s">
        <v>61</v>
      </c>
      <c r="P30" t="s">
        <v>3</v>
      </c>
      <c r="Q30" t="s">
        <v>3</v>
      </c>
      <c r="R30" t="s">
        <v>3</v>
      </c>
      <c r="S30" t="s">
        <v>443</v>
      </c>
      <c r="T30" t="s">
        <v>450</v>
      </c>
      <c r="U30" t="s">
        <v>444</v>
      </c>
    </row>
    <row r="31" spans="1:21">
      <c r="A31">
        <v>200</v>
      </c>
      <c r="B31">
        <v>1</v>
      </c>
      <c r="C31" t="s">
        <v>3</v>
      </c>
      <c r="D31" t="s">
        <v>449</v>
      </c>
      <c r="E31" t="s">
        <v>449</v>
      </c>
      <c r="F31" t="s">
        <v>449</v>
      </c>
      <c r="G31" t="s">
        <v>449</v>
      </c>
      <c r="H31" t="s">
        <v>3</v>
      </c>
      <c r="I31" t="s">
        <v>449</v>
      </c>
      <c r="J31" t="s">
        <v>449</v>
      </c>
      <c r="K31" t="s">
        <v>3</v>
      </c>
      <c r="L31" t="s">
        <v>3</v>
      </c>
      <c r="M31" t="s">
        <v>3</v>
      </c>
      <c r="N31" t="s">
        <v>449</v>
      </c>
      <c r="O31" t="s">
        <v>449</v>
      </c>
      <c r="P31" t="s">
        <v>3</v>
      </c>
      <c r="Q31" t="s">
        <v>3</v>
      </c>
      <c r="R31" t="s">
        <v>3</v>
      </c>
      <c r="S31" t="s">
        <v>3</v>
      </c>
      <c r="T31" t="s">
        <v>3</v>
      </c>
    </row>
    <row r="32" spans="1:21">
      <c r="A32">
        <v>200</v>
      </c>
      <c r="B32">
        <v>1</v>
      </c>
      <c r="C32" t="s">
        <v>3</v>
      </c>
      <c r="D32" t="s">
        <v>60</v>
      </c>
      <c r="E32" t="s">
        <v>61</v>
      </c>
      <c r="F32" t="s">
        <v>61</v>
      </c>
      <c r="G32" t="s">
        <v>61</v>
      </c>
      <c r="H32" t="s">
        <v>3</v>
      </c>
      <c r="I32" t="s">
        <v>61</v>
      </c>
      <c r="J32" t="s">
        <v>61</v>
      </c>
      <c r="K32" t="s">
        <v>3</v>
      </c>
      <c r="L32" t="s">
        <v>3</v>
      </c>
      <c r="M32" t="s">
        <v>3</v>
      </c>
      <c r="N32" t="s">
        <v>60</v>
      </c>
      <c r="O32" t="s">
        <v>61</v>
      </c>
      <c r="P32" t="s">
        <v>3</v>
      </c>
      <c r="Q32" t="s">
        <v>3</v>
      </c>
      <c r="R32" t="s">
        <v>3</v>
      </c>
      <c r="S32" t="s">
        <v>443</v>
      </c>
      <c r="T32" t="s">
        <v>450</v>
      </c>
      <c r="U32" t="s">
        <v>444</v>
      </c>
    </row>
    <row r="33" spans="1:21">
      <c r="A33">
        <v>201</v>
      </c>
      <c r="B33">
        <v>1</v>
      </c>
      <c r="C33" t="s">
        <v>3</v>
      </c>
      <c r="D33" t="s">
        <v>60</v>
      </c>
      <c r="E33" t="s">
        <v>61</v>
      </c>
      <c r="F33" t="s">
        <v>61</v>
      </c>
      <c r="G33" t="s">
        <v>61</v>
      </c>
      <c r="H33" t="s">
        <v>3</v>
      </c>
      <c r="I33" t="s">
        <v>61</v>
      </c>
      <c r="J33" t="s">
        <v>61</v>
      </c>
      <c r="K33" t="s">
        <v>3</v>
      </c>
      <c r="L33" t="s">
        <v>3</v>
      </c>
      <c r="M33" t="s">
        <v>3</v>
      </c>
      <c r="N33" t="s">
        <v>60</v>
      </c>
      <c r="O33" t="s">
        <v>61</v>
      </c>
      <c r="P33" t="s">
        <v>3</v>
      </c>
      <c r="Q33" t="s">
        <v>3</v>
      </c>
      <c r="R33" t="s">
        <v>3</v>
      </c>
      <c r="S33" t="s">
        <v>443</v>
      </c>
      <c r="T33" t="s">
        <v>450</v>
      </c>
      <c r="U33" t="s">
        <v>444</v>
      </c>
    </row>
    <row r="34" spans="1:21">
      <c r="A34">
        <v>204</v>
      </c>
      <c r="B34">
        <v>1</v>
      </c>
      <c r="C34" t="s">
        <v>3</v>
      </c>
      <c r="D34" t="s">
        <v>60</v>
      </c>
      <c r="E34" t="s">
        <v>61</v>
      </c>
      <c r="F34" t="s">
        <v>61</v>
      </c>
      <c r="G34" t="s">
        <v>61</v>
      </c>
      <c r="H34" t="s">
        <v>3</v>
      </c>
      <c r="I34" t="s">
        <v>61</v>
      </c>
      <c r="J34" t="s">
        <v>61</v>
      </c>
      <c r="K34" t="s">
        <v>3</v>
      </c>
      <c r="L34" t="s">
        <v>3</v>
      </c>
      <c r="M34" t="s">
        <v>3</v>
      </c>
      <c r="N34" t="s">
        <v>60</v>
      </c>
      <c r="O34" t="s">
        <v>61</v>
      </c>
      <c r="P34" t="s">
        <v>3</v>
      </c>
      <c r="Q34" t="s">
        <v>3</v>
      </c>
      <c r="R34" t="s">
        <v>3</v>
      </c>
      <c r="S34" t="s">
        <v>443</v>
      </c>
      <c r="T34" t="s">
        <v>450</v>
      </c>
      <c r="U34" t="s">
        <v>444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Смета по ТСН-2001(с доп.67</vt:lpstr>
      <vt:lpstr>Дефектная ведомость</vt:lpstr>
      <vt:lpstr>RV_DATA</vt:lpstr>
      <vt:lpstr>Расчет стоимости ресурсов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'Расчет стоимости ресурсов'!Заголовки_для_печати</vt:lpstr>
      <vt:lpstr>'Смета по ТСН-2001(с доп.67'!Заголовки_для_печати</vt:lpstr>
      <vt:lpstr>'Дефектная ведомость'!Область_печати</vt:lpstr>
      <vt:lpstr>'Расчет стоимости ресурсов'!Область_печати</vt:lpstr>
      <vt:lpstr>'Смета по ТСН-2001(с доп.67'!Область_печати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2026-07-29T06:22:38Z</dcterms:created>
  <dcterms:modified xsi:type="dcterms:W3CDTF">2026-08-04T09:02:22Z</dcterms:modified>
</cp:coreProperties>
</file>