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0\общая для закупок\_4_ЗАКУПКИ\Закупки_2026\РПЗ_00341 Поставка оборудования для контроля температуры\"/>
    </mc:Choice>
  </mc:AlternateContent>
  <xr:revisionPtr revIDLastSave="0" documentId="8_{C8FA90A5-1559-4D04-B055-A2E5EA97E9AE}" xr6:coauthVersionLast="47" xr6:coauthVersionMax="47" xr10:uidLastSave="{00000000-0000-0000-0000-000000000000}"/>
  <bookViews>
    <workbookView xWindow="-120" yWindow="-120" windowWidth="29040" windowHeight="15840" xr2:uid="{A7E6A996-684A-4158-A8A7-71FE8C6C981A}"/>
  </bookViews>
  <sheets>
    <sheet name="НМЦ" sheetId="1" r:id="rId1"/>
  </sheets>
  <externalReferences>
    <externalReference r:id="rId2"/>
  </externalReferences>
  <definedNames>
    <definedName name="ДаНет">#N/A</definedName>
    <definedName name="_xlnm.Print_Area" localSheetId="0">НМЦ!$A$3:$M$53</definedName>
    <definedName name="ОКАТО_код">#N/A</definedName>
    <definedName name="ОКЕИ_код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1" i="1" l="1"/>
  <c r="B50" i="1"/>
  <c r="K46" i="1"/>
  <c r="B46" i="1"/>
  <c r="H42" i="1"/>
  <c r="E42" i="1"/>
  <c r="J42" i="1" s="1"/>
  <c r="J41" i="1"/>
  <c r="I41" i="1"/>
  <c r="C41" i="1"/>
  <c r="B41" i="1"/>
  <c r="J40" i="1"/>
  <c r="I40" i="1"/>
  <c r="C40" i="1"/>
  <c r="B40" i="1"/>
  <c r="J39" i="1"/>
  <c r="I39" i="1"/>
  <c r="C39" i="1"/>
  <c r="B39" i="1"/>
  <c r="J38" i="1"/>
  <c r="I38" i="1"/>
  <c r="C38" i="1"/>
  <c r="B38" i="1"/>
  <c r="J37" i="1"/>
  <c r="I37" i="1"/>
  <c r="C37" i="1"/>
  <c r="B37" i="1"/>
  <c r="J36" i="1"/>
  <c r="K36" i="1" s="1"/>
  <c r="L36" i="1" s="1"/>
  <c r="M36" i="1" s="1"/>
  <c r="I36" i="1"/>
  <c r="C36" i="1"/>
  <c r="B36" i="1"/>
  <c r="J35" i="1"/>
  <c r="K35" i="1" s="1"/>
  <c r="L35" i="1" s="1"/>
  <c r="M35" i="1" s="1"/>
  <c r="I35" i="1"/>
  <c r="C35" i="1"/>
  <c r="B35" i="1"/>
  <c r="J34" i="1"/>
  <c r="K34" i="1" s="1"/>
  <c r="L34" i="1" s="1"/>
  <c r="M34" i="1" s="1"/>
  <c r="I34" i="1"/>
  <c r="C34" i="1"/>
  <c r="B34" i="1"/>
  <c r="J33" i="1"/>
  <c r="K33" i="1" s="1"/>
  <c r="L33" i="1" s="1"/>
  <c r="M33" i="1" s="1"/>
  <c r="I33" i="1"/>
  <c r="C33" i="1"/>
  <c r="B33" i="1"/>
  <c r="K32" i="1"/>
  <c r="L32" i="1" s="1"/>
  <c r="M32" i="1" s="1"/>
  <c r="J32" i="1"/>
  <c r="I32" i="1"/>
  <c r="C32" i="1"/>
  <c r="B32" i="1"/>
  <c r="J31" i="1"/>
  <c r="I31" i="1"/>
  <c r="C31" i="1"/>
  <c r="B31" i="1"/>
  <c r="J30" i="1"/>
  <c r="I30" i="1"/>
  <c r="C30" i="1"/>
  <c r="B30" i="1"/>
  <c r="J29" i="1"/>
  <c r="I29" i="1"/>
  <c r="C29" i="1"/>
  <c r="B29" i="1"/>
  <c r="J28" i="1"/>
  <c r="I28" i="1"/>
  <c r="C28" i="1"/>
  <c r="B28" i="1"/>
  <c r="J27" i="1"/>
  <c r="I27" i="1"/>
  <c r="K27" i="1" s="1"/>
  <c r="L27" i="1" s="1"/>
  <c r="M27" i="1" s="1"/>
  <c r="C27" i="1"/>
  <c r="B27" i="1"/>
  <c r="J26" i="1"/>
  <c r="I26" i="1"/>
  <c r="C26" i="1"/>
  <c r="B26" i="1"/>
  <c r="J25" i="1"/>
  <c r="I25" i="1"/>
  <c r="C25" i="1"/>
  <c r="B25" i="1"/>
  <c r="J24" i="1"/>
  <c r="I24" i="1"/>
  <c r="K24" i="1" s="1"/>
  <c r="L24" i="1" s="1"/>
  <c r="M24" i="1" s="1"/>
  <c r="C24" i="1"/>
  <c r="B24" i="1"/>
  <c r="J23" i="1"/>
  <c r="I23" i="1"/>
  <c r="C23" i="1"/>
  <c r="B23" i="1"/>
  <c r="J22" i="1"/>
  <c r="I22" i="1"/>
  <c r="C22" i="1"/>
  <c r="B22" i="1"/>
  <c r="J21" i="1"/>
  <c r="K21" i="1" s="1"/>
  <c r="L21" i="1" s="1"/>
  <c r="M21" i="1" s="1"/>
  <c r="I21" i="1"/>
  <c r="C21" i="1"/>
  <c r="B21" i="1"/>
  <c r="J20" i="1"/>
  <c r="K20" i="1" s="1"/>
  <c r="L20" i="1" s="1"/>
  <c r="M20" i="1" s="1"/>
  <c r="I20" i="1"/>
  <c r="C20" i="1"/>
  <c r="B20" i="1"/>
  <c r="J19" i="1"/>
  <c r="I19" i="1"/>
  <c r="C19" i="1"/>
  <c r="B19" i="1"/>
  <c r="E18" i="1"/>
  <c r="F18" i="1" s="1"/>
  <c r="G18" i="1" s="1"/>
  <c r="H18" i="1" s="1"/>
  <c r="I18" i="1" s="1"/>
  <c r="J18" i="1" s="1"/>
  <c r="K18" i="1" s="1"/>
  <c r="L18" i="1" s="1"/>
  <c r="M18" i="1" s="1"/>
  <c r="F10" i="1"/>
  <c r="F9" i="1"/>
  <c r="F8" i="1"/>
  <c r="F7" i="1"/>
  <c r="F6" i="1"/>
  <c r="K19" i="1" l="1"/>
  <c r="L19" i="1" s="1"/>
  <c r="M19" i="1" s="1"/>
  <c r="K37" i="1"/>
  <c r="L37" i="1" s="1"/>
  <c r="M37" i="1" s="1"/>
  <c r="K38" i="1"/>
  <c r="L38" i="1" s="1"/>
  <c r="M38" i="1" s="1"/>
  <c r="K39" i="1"/>
  <c r="L39" i="1" s="1"/>
  <c r="M39" i="1" s="1"/>
  <c r="K41" i="1"/>
  <c r="L41" i="1" s="1"/>
  <c r="M41" i="1" s="1"/>
  <c r="K22" i="1"/>
  <c r="L22" i="1" s="1"/>
  <c r="M22" i="1" s="1"/>
  <c r="K23" i="1"/>
  <c r="L23" i="1" s="1"/>
  <c r="M23" i="1" s="1"/>
  <c r="K29" i="1"/>
  <c r="L29" i="1" s="1"/>
  <c r="M29" i="1" s="1"/>
  <c r="K30" i="1"/>
  <c r="L30" i="1" s="1"/>
  <c r="M30" i="1" s="1"/>
  <c r="K31" i="1"/>
  <c r="L31" i="1" s="1"/>
  <c r="M31" i="1" s="1"/>
  <c r="I42" i="1"/>
  <c r="K25" i="1"/>
  <c r="L25" i="1" s="1"/>
  <c r="M25" i="1" s="1"/>
  <c r="K26" i="1"/>
  <c r="L26" i="1" s="1"/>
  <c r="M26" i="1" s="1"/>
  <c r="K28" i="1"/>
  <c r="L28" i="1" s="1"/>
  <c r="M28" i="1" s="1"/>
  <c r="K40" i="1"/>
  <c r="L40" i="1" s="1"/>
  <c r="M40" i="1" s="1"/>
  <c r="M42" i="1" l="1"/>
  <c r="C52" i="1"/>
  <c r="F12" i="1"/>
</calcChain>
</file>

<file path=xl/sharedStrings.xml><?xml version="1.0" encoding="utf-8"?>
<sst xmlns="http://schemas.openxmlformats.org/spreadsheetml/2006/main" count="33" uniqueCount="31">
  <si>
    <t>Приложение Б</t>
  </si>
  <si>
    <t>форма 9</t>
  </si>
  <si>
    <t>ОБОСНОВАНИЕ</t>
  </si>
  <si>
    <t>по начальной максимальной цене договора (НМЦ)</t>
  </si>
  <si>
    <t xml:space="preserve">Наименование закупки (предмет договора): </t>
  </si>
  <si>
    <t xml:space="preserve">Используемый метод определения НМЦ: </t>
  </si>
  <si>
    <t>Срок поставки (выполнения работ, оказания услуг):</t>
  </si>
  <si>
    <t>Информация о запросах ценовых предложений (коммерческих предложений):</t>
  </si>
  <si>
    <t xml:space="preserve">Информация о ценовых предложениях, включая информацию из открытых источников: </t>
  </si>
  <si>
    <t>НМЦ/цена контракта (договора) устанавливается в размере: (с обязательным указанием информации - с учетом или без НДС, включая все налоги, сборы и обязательные платежи)</t>
  </si>
  <si>
    <t>875 954 (восемьсот семьдесят пять тысяч девятьсот пятьдесят четыре) рубля 04 копейки, с учетом НДС 22%</t>
  </si>
  <si>
    <t xml:space="preserve">Дата подготовки обоснования НМЦ: </t>
  </si>
  <si>
    <t>Расчет НМЦ</t>
  </si>
  <si>
    <t>№ п/п</t>
  </si>
  <si>
    <t>Наименование товара, работы, услуги</t>
  </si>
  <si>
    <t>Ед. изм.</t>
  </si>
  <si>
    <t>Кол-во</t>
  </si>
  <si>
    <t>Ценовые предложения, руб.</t>
  </si>
  <si>
    <t>Средняя цена, руб.</t>
  </si>
  <si>
    <t>Среднее квадратичное отклонение</t>
  </si>
  <si>
    <t>Коэффициент вариации</t>
  </si>
  <si>
    <t>Стоимость за 1 ед. товара принятая в расчет с учетом коэффициента вариации, руб. (с учетом налогов, сборов и других обязательных платежей)</t>
  </si>
  <si>
    <t>Стоимость, руб. 
(с учетом налогов, сборов и других обязательных платежей)</t>
  </si>
  <si>
    <t xml:space="preserve">№1* </t>
  </si>
  <si>
    <t xml:space="preserve">№2* </t>
  </si>
  <si>
    <t xml:space="preserve">№3* </t>
  </si>
  <si>
    <r>
      <t>договор №</t>
    </r>
    <r>
      <rPr>
        <b/>
        <sz val="12"/>
        <color rgb="FFFF0000"/>
        <rFont val="Times New Roman"/>
        <family val="1"/>
        <charset val="204"/>
      </rPr>
      <t>***</t>
    </r>
    <r>
      <rPr>
        <b/>
        <sz val="12"/>
        <color rgb="FF000000"/>
        <rFont val="Times New Roman"/>
        <family val="1"/>
        <charset val="204"/>
      </rPr>
      <t xml:space="preserve">от </t>
    </r>
    <r>
      <rPr>
        <b/>
        <sz val="12"/>
        <color rgb="FFFF0000"/>
        <rFont val="Times New Roman"/>
        <family val="1"/>
        <charset val="204"/>
      </rPr>
      <t xml:space="preserve"> г.</t>
    </r>
    <r>
      <rPr>
        <b/>
        <sz val="12"/>
        <color rgb="FF000000"/>
        <rFont val="Times New Roman"/>
        <family val="1"/>
        <charset val="204"/>
      </rPr>
      <t xml:space="preserve"> с учетом ИПЦ 2025-202</t>
    </r>
    <r>
      <rPr>
        <b/>
        <sz val="12"/>
        <color rgb="FFFF0000"/>
        <rFont val="Times New Roman"/>
        <family val="1"/>
        <charset val="204"/>
      </rPr>
      <t>6</t>
    </r>
    <r>
      <rPr>
        <b/>
        <sz val="12"/>
        <color rgb="FF000000"/>
        <rFont val="Times New Roman"/>
        <family val="1"/>
        <charset val="204"/>
      </rPr>
      <t xml:space="preserve"> (</t>
    </r>
    <r>
      <rPr>
        <b/>
        <sz val="12"/>
        <color rgb="FFFF0000"/>
        <rFont val="Times New Roman"/>
        <family val="1"/>
        <charset val="204"/>
      </rPr>
      <t>1,051</t>
    </r>
    <r>
      <rPr>
        <b/>
        <sz val="12"/>
        <color rgb="FF000000"/>
        <rFont val="Times New Roman"/>
        <family val="1"/>
        <charset val="204"/>
      </rPr>
      <t>) в соответствии с Методикой №357</t>
    </r>
  </si>
  <si>
    <t>Итого:</t>
  </si>
  <si>
    <t>X</t>
  </si>
  <si>
    <t>Х</t>
  </si>
  <si>
    <t>Даты сбора информации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</si>
</sst>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* #,##0.00\ _₽_-;\-* #,##0.00\ _₽_-;_-* &quot;-&quot;??\ _₽_-;_-@_-"/>
  </numFmts>
  <fonts count="14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Alignment="0"/>
  </cellStyleXfs>
  <cellXfs count="5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top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0" xfId="0" applyFont="1"/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3" fillId="0" borderId="1" xfId="3" applyNumberFormat="1" applyFont="1" applyBorder="1" applyAlignment="1">
      <alignment horizontal="center" vertical="center" wrapText="1"/>
    </xf>
    <xf numFmtId="2" fontId="3" fillId="0" borderId="1" xfId="3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indent="3"/>
    </xf>
    <xf numFmtId="0" fontId="12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2" fontId="12" fillId="0" borderId="1" xfId="1" applyNumberFormat="1" applyFont="1" applyFill="1" applyBorder="1" applyAlignment="1">
      <alignment horizontal="center" vertical="center" wrapText="1"/>
    </xf>
    <xf numFmtId="0" fontId="10" fillId="0" borderId="0" xfId="0" applyFont="1"/>
    <xf numFmtId="0" fontId="3" fillId="0" borderId="1" xfId="0" applyFont="1" applyBorder="1" applyAlignment="1">
      <alignment horizontal="left" vertical="center" wrapText="1" indent="3"/>
    </xf>
    <xf numFmtId="0" fontId="5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8" fillId="0" borderId="1" xfId="2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/>
    <xf numFmtId="14" fontId="3" fillId="0" borderId="1" xfId="0" applyNumberFormat="1" applyFont="1" applyBorder="1" applyAlignment="1">
      <alignment wrapText="1"/>
    </xf>
    <xf numFmtId="0" fontId="3" fillId="0" borderId="0" xfId="0" applyFont="1" applyAlignment="1">
      <alignment horizontal="left" vertical="center" wrapText="1" indent="3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4" fillId="0" borderId="7" xfId="0" applyFont="1" applyBorder="1"/>
    <xf numFmtId="0" fontId="2" fillId="0" borderId="7" xfId="0" applyFont="1" applyBorder="1" applyAlignment="1">
      <alignment horizontal="right" vertical="center"/>
    </xf>
    <xf numFmtId="0" fontId="2" fillId="0" borderId="0" xfId="0" applyFont="1"/>
    <xf numFmtId="2" fontId="13" fillId="0" borderId="0" xfId="0" applyNumberFormat="1" applyFont="1" applyAlignment="1">
      <alignment horizontal="left" vertical="center"/>
    </xf>
    <xf numFmtId="0" fontId="13" fillId="0" borderId="0" xfId="0" applyFont="1"/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14" fontId="13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</cellXfs>
  <cellStyles count="4">
    <cellStyle name="Обычный" xfId="0" builtinId="0"/>
    <cellStyle name="Обычный 4" xfId="3" xr:uid="{4B839BD6-FE97-45A5-A85F-AEBDA7B8E2B8}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8;&#1086;&#1095;&#1077;&#1077;/&#1062;&#1077;&#1093;%201%20&#1055;&#1086;&#1089;&#1090;&#1072;&#1074;&#1082;&#1072;%20&#1086;&#1073;&#1086;&#1088;&#1091;&#1076;&#1086;&#1074;&#1072;&#1085;&#1080;&#1103;%20&#1076;&#1083;&#1103;%20&#1082;&#1086;&#1085;&#1090;&#1088;&#1086;&#1083;&#1103;%20&#1090;&#1077;&#1084;&#1087;&#1077;&#1088;&#1072;&#1090;&#1091;&#1088;&#1099;%20&#1080;%20&#1074;&#1083;&#1072;&#1078;&#1085;&#1086;&#1089;&#109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зменения"/>
      <sheetName val="Справочник"/>
      <sheetName val="Инструкция"/>
      <sheetName val="ГЭБ"/>
      <sheetName val="схема"/>
      <sheetName val="ПИ"/>
      <sheetName val="2026РПЗ"/>
      <sheetName val="ЗАКУПКА"/>
      <sheetName val="Кор_РПЗ"/>
      <sheetName val="Задание"/>
      <sheetName val="ТЗ"/>
      <sheetName val="Запрос КП"/>
      <sheetName val="Спец-я"/>
      <sheetName val="Обоснование"/>
      <sheetName val="НМЦ"/>
      <sheetName val="Решение НМЦ"/>
      <sheetName val="С-З_опл"/>
      <sheetName val="С-З_опл ЭДО"/>
      <sheetName val="С-З_для СС"/>
      <sheetName val="ДС"/>
      <sheetName val="п.6.6.2_ПоЗ"/>
      <sheetName val="п.19.22"/>
      <sheetName val="п.21.2.2"/>
      <sheetName val="ИГК"/>
      <sheetName val="РЕШЕНИЕ_ЕП"/>
      <sheetName val="РЕШЕНИЕ_ДС"/>
      <sheetName val="ИЗВЕЩЕНИЕ"/>
      <sheetName val="Контрагенты"/>
      <sheetName val="ОКПД2"/>
      <sheetName val="ОКПД2 (2)"/>
      <sheetName val="ОКВЭД2"/>
      <sheetName val="ОКЕИ"/>
      <sheetName val="ПП_1875_1"/>
      <sheetName val="ПП_1875_2"/>
      <sheetName val="ПП_1875_3"/>
      <sheetName val="ПП_878"/>
      <sheetName val="РП_744"/>
      <sheetName val="РП_2662"/>
      <sheetName val="ПеречДок"/>
      <sheetName val="Блок-схема"/>
      <sheetName val="Кор_ПоЗ"/>
      <sheetName val=" _"/>
      <sheetName val="Памят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B1">
            <v>46168</v>
          </cell>
        </row>
        <row r="4">
          <cell r="C4" t="str">
            <v>Начальник 1 цеха</v>
          </cell>
          <cell r="D4" t="str">
            <v>А.И. Забродин</v>
          </cell>
        </row>
        <row r="66">
          <cell r="C66" t="str">
            <v>Поставка оборудования для контроля температуры и влажности воздуха в производственных помещениях</v>
          </cell>
        </row>
        <row r="67">
          <cell r="C67" t="str">
            <v xml:space="preserve">метод сопоставимых рыночных цен (анализа рынка) </v>
          </cell>
        </row>
        <row r="68">
          <cell r="C68" t="str">
            <v xml:space="preserve">в течение 100 календарных дней с даты заключения договора. </v>
          </cell>
        </row>
        <row r="69">
          <cell r="C69" t="str">
            <v xml:space="preserve"> Запрос КП исх. № 41-3908 от 04.05.2026</v>
          </cell>
        </row>
        <row r="70">
          <cell r="C70" t="str">
            <v xml:space="preserve"> КП №1 - вх. № 2577 от 05.05.2026;  КП №2 - вх. № 2295 от 20.04.2026;  КП №3 - вх. № 2296 от 20.04.2026</v>
          </cell>
        </row>
        <row r="77">
          <cell r="C77" t="str">
            <v>зам. нач. цеха №1 по КИПиА Д. А. Симонов</v>
          </cell>
        </row>
        <row r="78">
          <cell r="C78" t="str">
            <v>60-76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>
        <row r="10">
          <cell r="B10" t="str">
            <v>Корпус металлический ЩМП-4</v>
          </cell>
          <cell r="D10" t="str">
            <v>Штука</v>
          </cell>
        </row>
        <row r="11">
          <cell r="B11" t="str">
            <v>Сенсорная панель оператора ОВЕН</v>
          </cell>
          <cell r="D11" t="str">
            <v>Штука</v>
          </cell>
        </row>
        <row r="12">
          <cell r="B12" t="str">
            <v>Модуль аналогового ввода ОВЕН</v>
          </cell>
          <cell r="D12" t="str">
            <v>Штука</v>
          </cell>
        </row>
        <row r="13">
          <cell r="B13" t="str">
            <v>Барьер искробезопасности КонтрАвт</v>
          </cell>
          <cell r="D13" t="str">
            <v>Штука</v>
          </cell>
        </row>
        <row r="14">
          <cell r="B14" t="str">
            <v>Автоматический выключатель двухполюсной CHINT</v>
          </cell>
          <cell r="D14" t="str">
            <v>Штука</v>
          </cell>
        </row>
        <row r="15">
          <cell r="B15" t="str">
            <v>Блок питания ОВЕН</v>
          </cell>
          <cell r="D15" t="str">
            <v>Штука</v>
          </cell>
        </row>
        <row r="16">
          <cell r="B16" t="str">
            <v>Блок питания ОВЕН</v>
          </cell>
          <cell r="D16" t="str">
            <v>Штука</v>
          </cell>
        </row>
        <row r="17">
          <cell r="B17" t="str">
            <v>Преобразователь температуры и влажности измерительный РОСА-10</v>
          </cell>
          <cell r="D17" t="str">
            <v>Штука</v>
          </cell>
        </row>
        <row r="18">
          <cell r="B18" t="str">
            <v>Клемма пружинная проходная, серая</v>
          </cell>
          <cell r="D18" t="str">
            <v>Штука</v>
          </cell>
        </row>
        <row r="19">
          <cell r="B19" t="str">
            <v>Клемма пружинная проходная, синяя</v>
          </cell>
          <cell r="D19" t="str">
            <v>Штука</v>
          </cell>
        </row>
        <row r="20">
          <cell r="B20" t="str">
            <v>Клемма пружинная проходная, красная</v>
          </cell>
          <cell r="D20" t="str">
            <v>Штука</v>
          </cell>
        </row>
        <row r="21">
          <cell r="B21" t="str">
            <v>Блок перемычек на 10 контактов                                              (в упаковке 10 штук)</v>
          </cell>
          <cell r="D21" t="str">
            <v>Упаковка</v>
          </cell>
        </row>
        <row r="22">
          <cell r="B22" t="str">
            <v>Заглушка торцевая, серая                                                          (в упаковке 20 штук)</v>
          </cell>
          <cell r="D22" t="str">
            <v>Упаковка</v>
          </cell>
        </row>
        <row r="23">
          <cell r="B23" t="str">
            <v>Заглушка торцевая, синяя                                              (в упаковке 20 штук)</v>
          </cell>
          <cell r="D23" t="str">
            <v>Упаковка</v>
          </cell>
        </row>
        <row r="24">
          <cell r="B24" t="str">
            <v>Розетка на DIN-рейку</v>
          </cell>
          <cell r="D24" t="str">
            <v>Штука</v>
          </cell>
        </row>
        <row r="25">
          <cell r="B25" t="str">
            <v>Провод монтажный гибкий, синий</v>
          </cell>
          <cell r="D25" t="str">
            <v>Погонный метр</v>
          </cell>
        </row>
        <row r="26">
          <cell r="B26" t="str">
            <v>Провод монтажный гибкий, красный</v>
          </cell>
          <cell r="D26" t="str">
            <v>Погонный метр</v>
          </cell>
        </row>
        <row r="27">
          <cell r="B27" t="str">
            <v>Провод монтажный гибкий, черный</v>
          </cell>
          <cell r="D27" t="str">
            <v>Погонный метр</v>
          </cell>
        </row>
        <row r="28">
          <cell r="B28" t="str">
            <v>Наконечник штыревой втулочный                                     (в упаковке 100 штук)</v>
          </cell>
          <cell r="D28" t="str">
            <v>Упаковка</v>
          </cell>
        </row>
        <row r="29">
          <cell r="B29" t="str">
            <v>Кабель монтажный МКЭШ</v>
          </cell>
          <cell r="D29" t="str">
            <v>Погонный метр</v>
          </cell>
        </row>
        <row r="30">
          <cell r="B30" t="str">
            <v>Кабель контрольный КВВГЭнг</v>
          </cell>
          <cell r="D30" t="str">
            <v>Погонный метр</v>
          </cell>
        </row>
        <row r="31">
          <cell r="B31" t="str">
            <v>Коробка распаячная открытой установки</v>
          </cell>
          <cell r="D31" t="str">
            <v>Штука</v>
          </cell>
        </row>
        <row r="32">
          <cell r="B32" t="str">
            <v>Кримпер для обжима наконечников</v>
          </cell>
          <cell r="D32" t="str">
            <v>Штука</v>
          </cell>
        </row>
      </sheetData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">
          <cell r="A3" t="str">
            <v>220416632505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1BFE3-1D9A-49A7-B33E-A497F65D966D}">
  <sheetPr>
    <tabColor rgb="FF00B050"/>
    <pageSetUpPr fitToPage="1"/>
  </sheetPr>
  <dimension ref="A1:M58"/>
  <sheetViews>
    <sheetView tabSelected="1" view="pageBreakPreview" topLeftCell="A3" zoomScale="80" zoomScaleNormal="100" zoomScaleSheetLayoutView="80" workbookViewId="0">
      <selection activeCell="A56" sqref="A56:XFD57"/>
    </sheetView>
  </sheetViews>
  <sheetFormatPr defaultColWidth="9.140625" defaultRowHeight="15.75" outlineLevelRow="1" outlineLevelCol="1" x14ac:dyDescent="0.25"/>
  <cols>
    <col min="1" max="1" width="5.7109375" style="2" customWidth="1"/>
    <col min="2" max="2" width="26.85546875" style="2" customWidth="1"/>
    <col min="3" max="3" width="12.5703125" style="2" customWidth="1"/>
    <col min="4" max="4" width="8.5703125" style="2" customWidth="1"/>
    <col min="5" max="5" width="17.42578125" style="2" customWidth="1"/>
    <col min="6" max="6" width="15.5703125" style="2" customWidth="1"/>
    <col min="7" max="7" width="14.28515625" style="2" customWidth="1"/>
    <col min="8" max="8" width="17.5703125" style="2" hidden="1" customWidth="1" outlineLevel="1"/>
    <col min="9" max="9" width="15.5703125" style="2" customWidth="1" collapsed="1"/>
    <col min="10" max="10" width="12.85546875" style="2" customWidth="1"/>
    <col min="11" max="11" width="12.7109375" style="2" customWidth="1"/>
    <col min="12" max="12" width="18.5703125" style="2" customWidth="1"/>
    <col min="13" max="13" width="16.5703125" style="2" customWidth="1"/>
    <col min="14" max="1009" width="8.7109375" style="2" customWidth="1"/>
    <col min="1010" max="16384" width="9.140625" style="2"/>
  </cols>
  <sheetData>
    <row r="1" spans="1:13" ht="18.75" hidden="1" outlineLevel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.75" hidden="1" outlineLevel="1" x14ac:dyDescent="0.3">
      <c r="C2" s="3"/>
      <c r="D2" s="3"/>
      <c r="M2" s="4" t="s">
        <v>1</v>
      </c>
    </row>
    <row r="3" spans="1:13" ht="18.75" collapsed="1" x14ac:dyDescent="0.2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8.75" x14ac:dyDescent="0.25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5.75" customHeight="1" x14ac:dyDescent="0.25">
      <c r="A5" s="8"/>
    </row>
    <row r="6" spans="1:13" ht="38.25" customHeight="1" x14ac:dyDescent="0.25">
      <c r="A6" s="9" t="s">
        <v>4</v>
      </c>
      <c r="B6" s="9"/>
      <c r="C6" s="9"/>
      <c r="D6" s="9"/>
      <c r="E6" s="9"/>
      <c r="F6" s="9" t="str">
        <f>[1]ЗАКУПКА!C66</f>
        <v>Поставка оборудования для контроля температуры и влажности воздуха в производственных помещениях</v>
      </c>
      <c r="G6" s="9"/>
      <c r="H6" s="9"/>
      <c r="I6" s="9"/>
      <c r="J6" s="9"/>
      <c r="K6" s="9"/>
      <c r="L6" s="9"/>
      <c r="M6" s="9"/>
    </row>
    <row r="7" spans="1:13" ht="26.25" customHeight="1" x14ac:dyDescent="0.25">
      <c r="A7" s="9" t="s">
        <v>5</v>
      </c>
      <c r="B7" s="9"/>
      <c r="C7" s="9"/>
      <c r="D7" s="9"/>
      <c r="E7" s="9"/>
      <c r="F7" s="9" t="str">
        <f>[1]ЗАКУПКА!C67</f>
        <v xml:space="preserve">метод сопоставимых рыночных цен (анализа рынка) </v>
      </c>
      <c r="G7" s="9"/>
      <c r="H7" s="9"/>
      <c r="I7" s="9"/>
      <c r="J7" s="9"/>
      <c r="K7" s="9"/>
      <c r="L7" s="9"/>
      <c r="M7" s="9"/>
    </row>
    <row r="8" spans="1:13" ht="36.6" customHeight="1" x14ac:dyDescent="0.25">
      <c r="A8" s="9" t="s">
        <v>6</v>
      </c>
      <c r="B8" s="9"/>
      <c r="C8" s="9"/>
      <c r="D8" s="9"/>
      <c r="E8" s="9"/>
      <c r="F8" s="9" t="str">
        <f>[1]ЗАКУПКА!C68</f>
        <v xml:space="preserve">в течение 100 календарных дней с даты заключения договора. </v>
      </c>
      <c r="G8" s="9"/>
      <c r="H8" s="9"/>
      <c r="I8" s="9"/>
      <c r="J8" s="9"/>
      <c r="K8" s="9"/>
      <c r="L8" s="9"/>
      <c r="M8" s="9"/>
    </row>
    <row r="9" spans="1:13" ht="40.5" customHeight="1" x14ac:dyDescent="0.25">
      <c r="A9" s="9" t="s">
        <v>7</v>
      </c>
      <c r="B9" s="9"/>
      <c r="C9" s="9"/>
      <c r="D9" s="9"/>
      <c r="E9" s="9"/>
      <c r="F9" s="10" t="str">
        <f>[1]ЗАКУПКА!C69</f>
        <v xml:space="preserve"> Запрос КП исх. № 41-3908 от 04.05.2026</v>
      </c>
      <c r="G9" s="10"/>
      <c r="H9" s="10"/>
      <c r="I9" s="10"/>
      <c r="J9" s="10"/>
      <c r="K9" s="10"/>
      <c r="L9" s="10"/>
      <c r="M9" s="10"/>
    </row>
    <row r="10" spans="1:13" ht="40.5" customHeight="1" x14ac:dyDescent="0.25">
      <c r="A10" s="9" t="s">
        <v>8</v>
      </c>
      <c r="B10" s="9"/>
      <c r="C10" s="9"/>
      <c r="D10" s="9"/>
      <c r="E10" s="9"/>
      <c r="F10" s="11" t="str">
        <f>[1]ЗАКУПКА!C70</f>
        <v xml:space="preserve"> КП №1 - вх. № 2577 от 05.05.2026;  КП №2 - вх. № 2295 от 20.04.2026;  КП №3 - вх. № 2296 от 20.04.2026</v>
      </c>
      <c r="G10" s="11"/>
      <c r="H10" s="11"/>
      <c r="I10" s="11"/>
      <c r="J10" s="11"/>
      <c r="K10" s="11"/>
      <c r="L10" s="11"/>
      <c r="M10" s="11"/>
    </row>
    <row r="11" spans="1:13" ht="59.25" customHeight="1" x14ac:dyDescent="0.25">
      <c r="A11" s="9" t="s">
        <v>9</v>
      </c>
      <c r="B11" s="9"/>
      <c r="C11" s="9"/>
      <c r="D11" s="9"/>
      <c r="E11" s="9"/>
      <c r="F11" s="12" t="s">
        <v>10</v>
      </c>
      <c r="G11" s="12"/>
      <c r="H11" s="12"/>
      <c r="I11" s="12"/>
      <c r="J11" s="12"/>
      <c r="K11" s="12"/>
      <c r="L11" s="12"/>
      <c r="M11" s="12"/>
    </row>
    <row r="12" spans="1:13" ht="21" customHeight="1" x14ac:dyDescent="0.25">
      <c r="A12" s="9" t="s">
        <v>11</v>
      </c>
      <c r="B12" s="9"/>
      <c r="C12" s="9"/>
      <c r="D12" s="9"/>
      <c r="E12" s="9"/>
      <c r="F12" s="13">
        <f>[1]ЗАКУПКА!B1</f>
        <v>46168</v>
      </c>
      <c r="G12" s="13"/>
      <c r="H12" s="13"/>
      <c r="I12" s="13"/>
      <c r="J12" s="13"/>
      <c r="K12" s="13"/>
      <c r="L12" s="13"/>
      <c r="M12" s="13"/>
    </row>
    <row r="13" spans="1:13" ht="15" customHeight="1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ht="15" customHeight="1" x14ac:dyDescent="0.25">
      <c r="A14" s="15" t="s">
        <v>12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6" spans="1:13" s="21" customFormat="1" ht="30.75" customHeight="1" x14ac:dyDescent="0.25">
      <c r="A16" s="16" t="s">
        <v>13</v>
      </c>
      <c r="B16" s="16" t="s">
        <v>14</v>
      </c>
      <c r="C16" s="16" t="s">
        <v>15</v>
      </c>
      <c r="D16" s="16" t="s">
        <v>16</v>
      </c>
      <c r="E16" s="17" t="s">
        <v>17</v>
      </c>
      <c r="F16" s="18"/>
      <c r="G16" s="18"/>
      <c r="H16" s="19"/>
      <c r="I16" s="16" t="s">
        <v>18</v>
      </c>
      <c r="J16" s="16" t="s">
        <v>19</v>
      </c>
      <c r="K16" s="16" t="s">
        <v>20</v>
      </c>
      <c r="L16" s="20" t="s">
        <v>21</v>
      </c>
      <c r="M16" s="16" t="s">
        <v>22</v>
      </c>
    </row>
    <row r="17" spans="1:13" s="21" customFormat="1" ht="82.5" customHeight="1" x14ac:dyDescent="0.25">
      <c r="A17" s="22"/>
      <c r="B17" s="22"/>
      <c r="C17" s="22"/>
      <c r="D17" s="22"/>
      <c r="E17" s="6" t="s">
        <v>23</v>
      </c>
      <c r="F17" s="6" t="s">
        <v>24</v>
      </c>
      <c r="G17" s="6" t="s">
        <v>25</v>
      </c>
      <c r="H17" s="23" t="s">
        <v>26</v>
      </c>
      <c r="I17" s="22"/>
      <c r="J17" s="22"/>
      <c r="K17" s="22"/>
      <c r="L17" s="24"/>
      <c r="M17" s="22"/>
    </row>
    <row r="18" spans="1:13" ht="14.25" customHeight="1" x14ac:dyDescent="0.25">
      <c r="A18" s="25">
        <v>1</v>
      </c>
      <c r="B18" s="25">
        <v>2</v>
      </c>
      <c r="C18" s="25">
        <v>3</v>
      </c>
      <c r="D18" s="25">
        <v>4</v>
      </c>
      <c r="E18" s="25">
        <f>D18+1</f>
        <v>5</v>
      </c>
      <c r="F18" s="25">
        <f t="shared" ref="F18:M18" si="0">E18+1</f>
        <v>6</v>
      </c>
      <c r="G18" s="25">
        <f t="shared" si="0"/>
        <v>7</v>
      </c>
      <c r="H18" s="25">
        <f t="shared" si="0"/>
        <v>8</v>
      </c>
      <c r="I18" s="25">
        <f t="shared" si="0"/>
        <v>9</v>
      </c>
      <c r="J18" s="25">
        <f t="shared" si="0"/>
        <v>10</v>
      </c>
      <c r="K18" s="25">
        <f t="shared" si="0"/>
        <v>11</v>
      </c>
      <c r="L18" s="25">
        <f t="shared" si="0"/>
        <v>12</v>
      </c>
      <c r="M18" s="25">
        <f t="shared" si="0"/>
        <v>13</v>
      </c>
    </row>
    <row r="19" spans="1:13" ht="31.5" x14ac:dyDescent="0.25">
      <c r="A19" s="25">
        <v>1</v>
      </c>
      <c r="B19" s="26" t="str">
        <f>'[1]Спец-я'!B10</f>
        <v>Корпус металлический ЩМП-4</v>
      </c>
      <c r="C19" s="25" t="str">
        <f>'[1]Спец-я'!D10</f>
        <v>Штука</v>
      </c>
      <c r="D19" s="27">
        <v>1</v>
      </c>
      <c r="E19" s="28">
        <v>14550</v>
      </c>
      <c r="F19" s="28">
        <v>18655.73</v>
      </c>
      <c r="G19" s="29">
        <v>23617</v>
      </c>
      <c r="H19" s="30"/>
      <c r="I19" s="31">
        <f>IFERROR(ROUND(AVERAGEIF(E19:G19,"&gt;0"),2),"")</f>
        <v>18940.91</v>
      </c>
      <c r="J19" s="32">
        <f>IFERROR(_xlfn.STDEV.P($E19:$G19),"")</f>
        <v>3707.075934327042</v>
      </c>
      <c r="K19" s="32">
        <f>IFERROR(J19/I19,"")</f>
        <v>0.19571794250260638</v>
      </c>
      <c r="L19" s="32">
        <f>IF(K19&lt;0.06,I19,IF(K19&gt;0.32,#REF!,MIN(E19:G19)))</f>
        <v>14550</v>
      </c>
      <c r="M19" s="33">
        <f>IFERROR(L19*D19,"")</f>
        <v>14550</v>
      </c>
    </row>
    <row r="20" spans="1:13" ht="31.5" outlineLevel="1" x14ac:dyDescent="0.25">
      <c r="A20" s="25">
        <v>2</v>
      </c>
      <c r="B20" s="26" t="str">
        <f>'[1]Спец-я'!B11</f>
        <v>Сенсорная панель оператора ОВЕН</v>
      </c>
      <c r="C20" s="25" t="str">
        <f>'[1]Спец-я'!D11</f>
        <v>Штука</v>
      </c>
      <c r="D20" s="27">
        <v>1</v>
      </c>
      <c r="E20" s="28">
        <v>124928</v>
      </c>
      <c r="F20" s="28">
        <v>121180.16</v>
      </c>
      <c r="G20" s="29">
        <v>166638</v>
      </c>
      <c r="H20" s="30"/>
      <c r="I20" s="31">
        <f>IFERROR(ROUND(AVERAGEIF(E20:G20,"&gt;0"),2),"")</f>
        <v>137582.04999999999</v>
      </c>
      <c r="J20" s="32">
        <f t="shared" ref="J20:J41" si="1">IFERROR(_xlfn.STDEV.P($E20:$G20),"")</f>
        <v>20602.550063661656</v>
      </c>
      <c r="K20" s="32">
        <f t="shared" ref="K20:K41" si="2">IFERROR(J20/I20,"")</f>
        <v>0.14974736939638317</v>
      </c>
      <c r="L20" s="32">
        <f>IF(K20&lt;0.06,I20,IF(K20&gt;0.32,#REF!,MIN(E20:G20)))</f>
        <v>121180.16</v>
      </c>
      <c r="M20" s="33">
        <f t="shared" ref="M20:M41" si="3">IFERROR(L20*D20,"")</f>
        <v>121180.16</v>
      </c>
    </row>
    <row r="21" spans="1:13" ht="31.5" outlineLevel="1" x14ac:dyDescent="0.25">
      <c r="A21" s="25">
        <v>3</v>
      </c>
      <c r="B21" s="26" t="str">
        <f>'[1]Спец-я'!B12</f>
        <v>Модуль аналогового ввода ОВЕН</v>
      </c>
      <c r="C21" s="25" t="str">
        <f>'[1]Спец-я'!D12</f>
        <v>Штука</v>
      </c>
      <c r="D21" s="27">
        <v>1</v>
      </c>
      <c r="E21" s="28">
        <v>22977</v>
      </c>
      <c r="F21" s="28">
        <v>22287.691999999999</v>
      </c>
      <c r="G21" s="29">
        <v>29883</v>
      </c>
      <c r="H21" s="30"/>
      <c r="I21" s="31">
        <f t="shared" ref="I21:I42" si="4">IFERROR(ROUND(AVERAGEIF(E21:G21,"&gt;0"),2),"")</f>
        <v>25049.23</v>
      </c>
      <c r="J21" s="32">
        <f t="shared" si="1"/>
        <v>3429.5559338998332</v>
      </c>
      <c r="K21" s="32">
        <f t="shared" si="2"/>
        <v>0.13691262900695284</v>
      </c>
      <c r="L21" s="32">
        <f>IF(K21&lt;0.06,I21,IF(K21&gt;0.32,#REF!,MIN(E21:G21)))</f>
        <v>22287.691999999999</v>
      </c>
      <c r="M21" s="33">
        <f t="shared" si="3"/>
        <v>22287.691999999999</v>
      </c>
    </row>
    <row r="22" spans="1:13" ht="31.5" customHeight="1" outlineLevel="1" x14ac:dyDescent="0.25">
      <c r="A22" s="25">
        <v>4</v>
      </c>
      <c r="B22" s="26" t="str">
        <f>'[1]Спец-я'!B13</f>
        <v>Барьер искробезопасности КонтрАвт</v>
      </c>
      <c r="C22" s="25" t="str">
        <f>'[1]Спец-я'!D13</f>
        <v>Штука</v>
      </c>
      <c r="D22" s="27">
        <v>8</v>
      </c>
      <c r="E22" s="28">
        <v>18226</v>
      </c>
      <c r="F22" s="28">
        <v>18986.25</v>
      </c>
      <c r="G22" s="29">
        <v>32400</v>
      </c>
      <c r="H22" s="30"/>
      <c r="I22" s="31">
        <f t="shared" si="4"/>
        <v>23204.080000000002</v>
      </c>
      <c r="J22" s="32">
        <f t="shared" si="1"/>
        <v>6509.8979777378654</v>
      </c>
      <c r="K22" s="32">
        <f t="shared" si="2"/>
        <v>0.28054971271163798</v>
      </c>
      <c r="L22" s="32">
        <f>IF(K22&lt;0.06,I22,IF(K22&gt;0.32,#REF!,MIN(E22:G22)))</f>
        <v>18226</v>
      </c>
      <c r="M22" s="33">
        <f t="shared" si="3"/>
        <v>145808</v>
      </c>
    </row>
    <row r="23" spans="1:13" ht="51.75" customHeight="1" outlineLevel="1" x14ac:dyDescent="0.25">
      <c r="A23" s="25">
        <v>5</v>
      </c>
      <c r="B23" s="26" t="str">
        <f>'[1]Спец-я'!B14</f>
        <v>Автоматический выключатель двухполюсной CHINT</v>
      </c>
      <c r="C23" s="25" t="str">
        <f>'[1]Спец-я'!D14</f>
        <v>Штука</v>
      </c>
      <c r="D23" s="27">
        <v>1</v>
      </c>
      <c r="E23" s="28">
        <v>490</v>
      </c>
      <c r="F23" s="28">
        <v>480</v>
      </c>
      <c r="G23" s="29">
        <v>611</v>
      </c>
      <c r="H23" s="30"/>
      <c r="I23" s="31">
        <f t="shared" si="4"/>
        <v>527</v>
      </c>
      <c r="J23" s="32">
        <f t="shared" si="1"/>
        <v>59.537103277424123</v>
      </c>
      <c r="K23" s="32">
        <f t="shared" si="2"/>
        <v>0.11297363050744616</v>
      </c>
      <c r="L23" s="32">
        <f>IF(K23&lt;0.06,I23,IF(K23&gt;0.32,#REF!,MIN(E23:G23)))</f>
        <v>480</v>
      </c>
      <c r="M23" s="33">
        <f t="shared" si="3"/>
        <v>480</v>
      </c>
    </row>
    <row r="24" spans="1:13" outlineLevel="1" x14ac:dyDescent="0.25">
      <c r="A24" s="25">
        <v>6</v>
      </c>
      <c r="B24" s="26" t="str">
        <f>'[1]Спец-я'!B15</f>
        <v>Блок питания ОВЕН</v>
      </c>
      <c r="C24" s="25" t="str">
        <f>'[1]Спец-я'!D15</f>
        <v>Штука</v>
      </c>
      <c r="D24" s="27">
        <v>1</v>
      </c>
      <c r="E24" s="28">
        <v>6832</v>
      </c>
      <c r="F24" s="28">
        <v>6832</v>
      </c>
      <c r="G24" s="29">
        <v>9739.2000000000007</v>
      </c>
      <c r="H24" s="30"/>
      <c r="I24" s="31">
        <f t="shared" si="4"/>
        <v>7801.07</v>
      </c>
      <c r="J24" s="32">
        <f t="shared" si="1"/>
        <v>1370.46722284369</v>
      </c>
      <c r="K24" s="32">
        <f t="shared" si="2"/>
        <v>0.17567682674859861</v>
      </c>
      <c r="L24" s="32">
        <f>IF(K24&lt;0.06,I24,IF(K24&gt;0.32,#REF!,MIN(E24:G24)))</f>
        <v>6832</v>
      </c>
      <c r="M24" s="33">
        <f t="shared" si="3"/>
        <v>6832</v>
      </c>
    </row>
    <row r="25" spans="1:13" outlineLevel="1" x14ac:dyDescent="0.25">
      <c r="A25" s="25">
        <v>7</v>
      </c>
      <c r="B25" s="26" t="str">
        <f>'[1]Спец-я'!B16</f>
        <v>Блок питания ОВЕН</v>
      </c>
      <c r="C25" s="25" t="str">
        <f>'[1]Спец-я'!D16</f>
        <v>Штука</v>
      </c>
      <c r="D25" s="27">
        <v>1</v>
      </c>
      <c r="E25" s="28">
        <v>9272</v>
      </c>
      <c r="F25" s="28">
        <v>9272</v>
      </c>
      <c r="G25" s="29">
        <v>12973.2</v>
      </c>
      <c r="H25" s="30"/>
      <c r="I25" s="31">
        <f t="shared" si="4"/>
        <v>10505.73</v>
      </c>
      <c r="J25" s="32">
        <f t="shared" si="1"/>
        <v>1744.7624123517662</v>
      </c>
      <c r="K25" s="32">
        <f t="shared" si="2"/>
        <v>0.16607721808496567</v>
      </c>
      <c r="L25" s="32">
        <f>IF(K25&lt;0.06,I25,IF(K25&gt;0.32,#REF!,MIN(E25:G25)))</f>
        <v>9272</v>
      </c>
      <c r="M25" s="33">
        <f t="shared" si="3"/>
        <v>9272</v>
      </c>
    </row>
    <row r="26" spans="1:13" ht="42.75" customHeight="1" outlineLevel="1" x14ac:dyDescent="0.25">
      <c r="A26" s="25">
        <v>8</v>
      </c>
      <c r="B26" s="26" t="str">
        <f>'[1]Спец-я'!B17</f>
        <v>Преобразователь температуры и влажности измерительный РОСА-10</v>
      </c>
      <c r="C26" s="25" t="str">
        <f>'[1]Спец-я'!D17</f>
        <v>Штука</v>
      </c>
      <c r="D26" s="27">
        <v>4</v>
      </c>
      <c r="E26" s="28">
        <v>116500</v>
      </c>
      <c r="F26" s="28">
        <v>126566.25260000001</v>
      </c>
      <c r="G26" s="29">
        <v>133390.56</v>
      </c>
      <c r="H26" s="30"/>
      <c r="I26" s="31">
        <f t="shared" si="4"/>
        <v>125485.6</v>
      </c>
      <c r="J26" s="32">
        <f t="shared" si="1"/>
        <v>6937.7520375463073</v>
      </c>
      <c r="K26" s="32">
        <f t="shared" si="2"/>
        <v>5.5287236444231905E-2</v>
      </c>
      <c r="L26" s="32">
        <f>IF(K26&lt;0.06,I26,IF(K26&gt;0.32,#REF!,MIN(E26:G26)))</f>
        <v>125485.6</v>
      </c>
      <c r="M26" s="33">
        <f t="shared" si="3"/>
        <v>501942.4</v>
      </c>
    </row>
    <row r="27" spans="1:13" ht="31.5" outlineLevel="1" x14ac:dyDescent="0.25">
      <c r="A27" s="25">
        <v>9</v>
      </c>
      <c r="B27" s="26" t="str">
        <f>'[1]Спец-я'!B18</f>
        <v>Клемма пружинная проходная, серая</v>
      </c>
      <c r="C27" s="25" t="str">
        <f>'[1]Спец-я'!D18</f>
        <v>Штука</v>
      </c>
      <c r="D27" s="27">
        <v>100</v>
      </c>
      <c r="E27" s="28">
        <v>52.46</v>
      </c>
      <c r="F27" s="28">
        <v>50.886200000000002</v>
      </c>
      <c r="G27" s="29">
        <v>68.2</v>
      </c>
      <c r="H27" s="30"/>
      <c r="I27" s="31">
        <f t="shared" si="4"/>
        <v>57.18</v>
      </c>
      <c r="J27" s="32">
        <f t="shared" si="1"/>
        <v>7.8173035766106214</v>
      </c>
      <c r="K27" s="32">
        <f t="shared" si="2"/>
        <v>0.13671394852414517</v>
      </c>
      <c r="L27" s="32">
        <f>IF(K27&lt;0.06,I27,IF(K27&gt;0.32,#REF!,MIN(E27:G27)))</f>
        <v>50.886200000000002</v>
      </c>
      <c r="M27" s="33">
        <f t="shared" si="3"/>
        <v>5088.62</v>
      </c>
    </row>
    <row r="28" spans="1:13" ht="31.5" outlineLevel="1" x14ac:dyDescent="0.25">
      <c r="A28" s="25">
        <v>10</v>
      </c>
      <c r="B28" s="26" t="str">
        <f>'[1]Спец-я'!B19</f>
        <v>Клемма пружинная проходная, синяя</v>
      </c>
      <c r="C28" s="25" t="str">
        <f>'[1]Спец-я'!D19</f>
        <v>Штука</v>
      </c>
      <c r="D28" s="27">
        <v>100</v>
      </c>
      <c r="E28" s="28">
        <v>62.22</v>
      </c>
      <c r="F28" s="29">
        <v>60.353400000000001</v>
      </c>
      <c r="G28" s="29">
        <v>77.709999999999994</v>
      </c>
      <c r="H28" s="30"/>
      <c r="I28" s="31">
        <f t="shared" si="4"/>
        <v>66.760000000000005</v>
      </c>
      <c r="J28" s="32">
        <f t="shared" si="1"/>
        <v>7.7794305641367094</v>
      </c>
      <c r="K28" s="32">
        <f t="shared" si="2"/>
        <v>0.11652831881570865</v>
      </c>
      <c r="L28" s="32">
        <f>IF(K28&lt;0.06,I28,IF(K28&gt;0.32,#REF!,MIN(E28:G28)))</f>
        <v>60.353400000000001</v>
      </c>
      <c r="M28" s="33">
        <f t="shared" si="3"/>
        <v>6035.34</v>
      </c>
    </row>
    <row r="29" spans="1:13" ht="31.5" outlineLevel="1" x14ac:dyDescent="0.25">
      <c r="A29" s="25">
        <v>11</v>
      </c>
      <c r="B29" s="26" t="str">
        <f>'[1]Спец-я'!B20</f>
        <v>Клемма пружинная проходная, красная</v>
      </c>
      <c r="C29" s="25" t="str">
        <f>'[1]Спец-я'!D20</f>
        <v>Штука</v>
      </c>
      <c r="D29" s="27">
        <v>100</v>
      </c>
      <c r="E29" s="28">
        <v>62.22</v>
      </c>
      <c r="F29" s="29">
        <v>60.353400000000001</v>
      </c>
      <c r="G29" s="29">
        <v>80.89</v>
      </c>
      <c r="H29" s="30"/>
      <c r="I29" s="31">
        <f t="shared" si="4"/>
        <v>67.819999999999993</v>
      </c>
      <c r="J29" s="32">
        <f t="shared" si="1"/>
        <v>9.272450443952577</v>
      </c>
      <c r="K29" s="32">
        <f t="shared" si="2"/>
        <v>0.13672147513937744</v>
      </c>
      <c r="L29" s="32">
        <f>IF(K29&lt;0.06,I29,IF(K29&gt;0.32,#REF!,MIN(E29:G29)))</f>
        <v>60.353400000000001</v>
      </c>
      <c r="M29" s="33">
        <f t="shared" si="3"/>
        <v>6035.34</v>
      </c>
    </row>
    <row r="30" spans="1:13" ht="47.25" outlineLevel="1" x14ac:dyDescent="0.25">
      <c r="A30" s="25">
        <v>12</v>
      </c>
      <c r="B30" s="26" t="str">
        <f>'[1]Спец-я'!B21</f>
        <v>Блок перемычек на 10 контактов                                              (в упаковке 10 штук)</v>
      </c>
      <c r="C30" s="25" t="str">
        <f>'[1]Спец-я'!D21</f>
        <v>Упаковка</v>
      </c>
      <c r="D30" s="27">
        <v>4</v>
      </c>
      <c r="E30" s="28">
        <v>1659.2</v>
      </c>
      <c r="F30" s="29">
        <v>1609.424</v>
      </c>
      <c r="G30" s="29">
        <v>2156.6999999999998</v>
      </c>
      <c r="H30" s="30"/>
      <c r="I30" s="31">
        <f t="shared" si="4"/>
        <v>1808.44</v>
      </c>
      <c r="J30" s="32">
        <f t="shared" si="1"/>
        <v>247.09308195540868</v>
      </c>
      <c r="K30" s="32">
        <f t="shared" si="2"/>
        <v>0.13663327616918927</v>
      </c>
      <c r="L30" s="32">
        <f>IF(K30&lt;0.06,I30,IF(K30&gt;0.32,#REF!,MIN(E30:G30)))</f>
        <v>1609.424</v>
      </c>
      <c r="M30" s="33">
        <f t="shared" si="3"/>
        <v>6437.6959999999999</v>
      </c>
    </row>
    <row r="31" spans="1:13" ht="34.5" customHeight="1" outlineLevel="1" x14ac:dyDescent="0.25">
      <c r="A31" s="25">
        <v>13</v>
      </c>
      <c r="B31" s="26" t="str">
        <f>'[1]Спец-я'!B22</f>
        <v>Заглушка торцевая, серая                                                          (в упаковке 20 штук)</v>
      </c>
      <c r="C31" s="25" t="str">
        <f>'[1]Спец-я'!D22</f>
        <v>Упаковка</v>
      </c>
      <c r="D31" s="27">
        <v>1</v>
      </c>
      <c r="E31" s="28">
        <v>406</v>
      </c>
      <c r="F31" s="29">
        <v>392.8888</v>
      </c>
      <c r="G31" s="29">
        <v>743.6</v>
      </c>
      <c r="H31" s="30"/>
      <c r="I31" s="31">
        <f t="shared" si="4"/>
        <v>514.16</v>
      </c>
      <c r="J31" s="32">
        <f t="shared" si="1"/>
        <v>162.32478053132303</v>
      </c>
      <c r="K31" s="32">
        <f t="shared" si="2"/>
        <v>0.31570869093535675</v>
      </c>
      <c r="L31" s="32">
        <f>IF(K31&lt;0.06,I31,IF(K31&gt;0.32,#REF!,MIN(E31:G31)))</f>
        <v>392.8888</v>
      </c>
      <c r="M31" s="33">
        <f t="shared" si="3"/>
        <v>392.8888</v>
      </c>
    </row>
    <row r="32" spans="1:13" ht="31.5" outlineLevel="1" x14ac:dyDescent="0.25">
      <c r="A32" s="25">
        <v>14</v>
      </c>
      <c r="B32" s="26" t="str">
        <f>'[1]Спец-я'!B23</f>
        <v>Заглушка торцевая, синяя                                              (в упаковке 20 штук)</v>
      </c>
      <c r="C32" s="25" t="str">
        <f>'[1]Спец-я'!D23</f>
        <v>Упаковка</v>
      </c>
      <c r="D32" s="27">
        <v>1</v>
      </c>
      <c r="E32" s="28">
        <v>442.86</v>
      </c>
      <c r="F32" s="29">
        <v>429.57420000000002</v>
      </c>
      <c r="G32" s="29">
        <v>743.6</v>
      </c>
      <c r="H32" s="30"/>
      <c r="I32" s="31">
        <f t="shared" si="4"/>
        <v>538.67999999999995</v>
      </c>
      <c r="J32" s="32">
        <f t="shared" si="1"/>
        <v>145.00316592224999</v>
      </c>
      <c r="K32" s="32">
        <f t="shared" si="2"/>
        <v>0.26918238271747608</v>
      </c>
      <c r="L32" s="32">
        <f>IF(K32&lt;0.06,I32,IF(K32&gt;0.32,#REF!,MIN(E32:G32)))</f>
        <v>429.57420000000002</v>
      </c>
      <c r="M32" s="33">
        <f t="shared" si="3"/>
        <v>429.57420000000002</v>
      </c>
    </row>
    <row r="33" spans="1:13" outlineLevel="1" x14ac:dyDescent="0.25">
      <c r="A33" s="25">
        <v>15</v>
      </c>
      <c r="B33" s="26" t="str">
        <f>'[1]Спец-я'!B24</f>
        <v>Розетка на DIN-рейку</v>
      </c>
      <c r="C33" s="25" t="str">
        <f>'[1]Спец-я'!D24</f>
        <v>Штука</v>
      </c>
      <c r="D33" s="27">
        <v>1</v>
      </c>
      <c r="E33" s="28">
        <v>401.38</v>
      </c>
      <c r="F33" s="29">
        <v>389.33859999999999</v>
      </c>
      <c r="G33" s="29">
        <v>743.6</v>
      </c>
      <c r="H33" s="30"/>
      <c r="I33" s="31">
        <f t="shared" si="4"/>
        <v>511.44</v>
      </c>
      <c r="J33" s="32">
        <f t="shared" si="1"/>
        <v>164.23582747714408</v>
      </c>
      <c r="K33" s="32">
        <f t="shared" si="2"/>
        <v>0.32112433027753812</v>
      </c>
      <c r="L33" s="32">
        <f>IF(K33&lt;0.06,I33,IF(K33=0.32,#REF!,MIN(E33:G33)))</f>
        <v>389.33859999999999</v>
      </c>
      <c r="M33" s="33">
        <f t="shared" si="3"/>
        <v>389.33859999999999</v>
      </c>
    </row>
    <row r="34" spans="1:13" ht="31.5" outlineLevel="1" x14ac:dyDescent="0.25">
      <c r="A34" s="25">
        <v>16</v>
      </c>
      <c r="B34" s="26" t="str">
        <f>'[1]Спец-я'!B25</f>
        <v>Провод монтажный гибкий, синий</v>
      </c>
      <c r="C34" s="25" t="str">
        <f>'[1]Спец-я'!D25</f>
        <v>Погонный метр</v>
      </c>
      <c r="D34" s="27">
        <v>100</v>
      </c>
      <c r="E34" s="28">
        <v>11.9</v>
      </c>
      <c r="F34" s="29">
        <v>18.495200000000001</v>
      </c>
      <c r="G34" s="29">
        <v>15.47</v>
      </c>
      <c r="H34" s="30"/>
      <c r="I34" s="31">
        <f t="shared" si="4"/>
        <v>15.29</v>
      </c>
      <c r="J34" s="32">
        <f t="shared" si="1"/>
        <v>2.6955394858914654</v>
      </c>
      <c r="K34" s="32">
        <f t="shared" si="2"/>
        <v>0.17629427638269887</v>
      </c>
      <c r="L34" s="32">
        <f>IF(K34&lt;0.06,I34,IF(K34&gt;0.32,#REF!,MIN(E34:G34)))</f>
        <v>11.9</v>
      </c>
      <c r="M34" s="33">
        <f t="shared" si="3"/>
        <v>1190</v>
      </c>
    </row>
    <row r="35" spans="1:13" ht="31.5" outlineLevel="1" x14ac:dyDescent="0.25">
      <c r="A35" s="25">
        <v>17</v>
      </c>
      <c r="B35" s="26" t="str">
        <f>'[1]Спец-я'!B26</f>
        <v>Провод монтажный гибкий, красный</v>
      </c>
      <c r="C35" s="25" t="str">
        <f>'[1]Спец-я'!D26</f>
        <v>Погонный метр</v>
      </c>
      <c r="D35" s="27">
        <v>100</v>
      </c>
      <c r="E35" s="28">
        <v>11.9</v>
      </c>
      <c r="F35" s="29">
        <v>18.495200000000001</v>
      </c>
      <c r="G35" s="29">
        <v>15.47</v>
      </c>
      <c r="H35" s="30"/>
      <c r="I35" s="31">
        <f t="shared" si="4"/>
        <v>15.29</v>
      </c>
      <c r="J35" s="32">
        <f t="shared" si="1"/>
        <v>2.6955394858914654</v>
      </c>
      <c r="K35" s="32">
        <f t="shared" si="2"/>
        <v>0.17629427638269887</v>
      </c>
      <c r="L35" s="32">
        <f>IF(K35&lt;0.06,I35,IF(K35&gt;0.32,#REF!,MIN(E35:G35)))</f>
        <v>11.9</v>
      </c>
      <c r="M35" s="33">
        <f t="shared" si="3"/>
        <v>1190</v>
      </c>
    </row>
    <row r="36" spans="1:13" ht="31.5" outlineLevel="1" x14ac:dyDescent="0.25">
      <c r="A36" s="25">
        <v>18</v>
      </c>
      <c r="B36" s="26" t="str">
        <f>'[1]Спец-я'!B27</f>
        <v>Провод монтажный гибкий, черный</v>
      </c>
      <c r="C36" s="25" t="str">
        <f>'[1]Спец-я'!D27</f>
        <v>Погонный метр</v>
      </c>
      <c r="D36" s="27">
        <v>100</v>
      </c>
      <c r="E36" s="28">
        <v>11.9</v>
      </c>
      <c r="F36" s="29">
        <v>18.495200000000001</v>
      </c>
      <c r="G36" s="29">
        <v>15.47</v>
      </c>
      <c r="H36" s="30"/>
      <c r="I36" s="31">
        <f t="shared" si="4"/>
        <v>15.29</v>
      </c>
      <c r="J36" s="32">
        <f t="shared" si="1"/>
        <v>2.6955394858914654</v>
      </c>
      <c r="K36" s="32">
        <f t="shared" si="2"/>
        <v>0.17629427638269887</v>
      </c>
      <c r="L36" s="32">
        <f>IF(K36&lt;0.06,I36,IF(K36&gt;0.32,#REF!,MIN(E36:G36)))</f>
        <v>11.9</v>
      </c>
      <c r="M36" s="33">
        <f t="shared" si="3"/>
        <v>1190</v>
      </c>
    </row>
    <row r="37" spans="1:13" ht="47.25" customHeight="1" outlineLevel="1" x14ac:dyDescent="0.25">
      <c r="A37" s="25">
        <v>19</v>
      </c>
      <c r="B37" s="26" t="str">
        <f>'[1]Спец-я'!B28</f>
        <v>Наконечник штыревой втулочный                                     (в упаковке 100 штук)</v>
      </c>
      <c r="C37" s="25" t="str">
        <f>'[1]Спец-я'!D28</f>
        <v>Упаковка</v>
      </c>
      <c r="D37" s="27">
        <v>5</v>
      </c>
      <c r="E37" s="28">
        <v>200</v>
      </c>
      <c r="F37" s="29">
        <v>198.75020000000001</v>
      </c>
      <c r="G37" s="29">
        <v>117</v>
      </c>
      <c r="H37" s="30"/>
      <c r="I37" s="31">
        <f t="shared" si="4"/>
        <v>171.92</v>
      </c>
      <c r="J37" s="32">
        <f t="shared" si="1"/>
        <v>38.835346442927843</v>
      </c>
      <c r="K37" s="32">
        <f t="shared" si="2"/>
        <v>0.22589196395374503</v>
      </c>
      <c r="L37" s="32">
        <f>IF(K37&lt;0.06,I37,IF(K37&gt;0.32,#REF!,MIN(E37:G37)))</f>
        <v>117</v>
      </c>
      <c r="M37" s="33">
        <f t="shared" si="3"/>
        <v>585</v>
      </c>
    </row>
    <row r="38" spans="1:13" ht="31.5" outlineLevel="1" x14ac:dyDescent="0.25">
      <c r="A38" s="25">
        <v>20</v>
      </c>
      <c r="B38" s="26" t="str">
        <f>'[1]Спец-я'!B29</f>
        <v>Кабель монтажный МКЭШ</v>
      </c>
      <c r="C38" s="25" t="str">
        <f>'[1]Спец-я'!D29</f>
        <v>Погонный метр</v>
      </c>
      <c r="D38" s="27">
        <v>200</v>
      </c>
      <c r="E38" s="28">
        <v>98</v>
      </c>
      <c r="F38" s="29">
        <v>92.402799999999999</v>
      </c>
      <c r="G38" s="29">
        <v>127.4</v>
      </c>
      <c r="H38" s="30"/>
      <c r="I38" s="31">
        <f t="shared" si="4"/>
        <v>105.93</v>
      </c>
      <c r="J38" s="32">
        <f t="shared" si="1"/>
        <v>15.34960244030942</v>
      </c>
      <c r="K38" s="32">
        <f t="shared" si="2"/>
        <v>0.14490326102435022</v>
      </c>
      <c r="L38" s="32">
        <f>IF(K38&lt;0.06,I38,IF(K38&gt;0.32,#REF!,MIN(E38:G38)))</f>
        <v>92.402799999999999</v>
      </c>
      <c r="M38" s="33">
        <f t="shared" si="3"/>
        <v>18480.560000000001</v>
      </c>
    </row>
    <row r="39" spans="1:13" ht="31.5" outlineLevel="1" x14ac:dyDescent="0.25">
      <c r="A39" s="25">
        <v>21</v>
      </c>
      <c r="B39" s="26" t="str">
        <f>'[1]Спец-я'!B30</f>
        <v>Кабель контрольный КВВГЭнг</v>
      </c>
      <c r="C39" s="25" t="str">
        <f>'[1]Спец-я'!D30</f>
        <v>Погонный метр</v>
      </c>
      <c r="D39" s="27">
        <v>100</v>
      </c>
      <c r="E39" s="28">
        <v>190</v>
      </c>
      <c r="F39" s="29">
        <v>196.2492</v>
      </c>
      <c r="G39" s="29">
        <v>247</v>
      </c>
      <c r="H39" s="30"/>
      <c r="I39" s="31">
        <f t="shared" si="4"/>
        <v>211.08</v>
      </c>
      <c r="J39" s="32">
        <f t="shared" si="1"/>
        <v>25.524925076133481</v>
      </c>
      <c r="K39" s="32">
        <f t="shared" si="2"/>
        <v>0.12092536041374588</v>
      </c>
      <c r="L39" s="32">
        <f>IF(K39&lt;0.06,I39,IF(K39&gt;0.32,#REF!,MIN(E39:G39)))</f>
        <v>190</v>
      </c>
      <c r="M39" s="33">
        <f t="shared" si="3"/>
        <v>19000</v>
      </c>
    </row>
    <row r="40" spans="1:13" ht="31.5" outlineLevel="1" x14ac:dyDescent="0.25">
      <c r="A40" s="25">
        <v>22</v>
      </c>
      <c r="B40" s="26" t="str">
        <f>'[1]Спец-я'!B31</f>
        <v>Коробка распаячная открытой установки</v>
      </c>
      <c r="C40" s="25" t="str">
        <f>'[1]Спец-я'!D31</f>
        <v>Штука</v>
      </c>
      <c r="D40" s="27">
        <v>10</v>
      </c>
      <c r="E40" s="28">
        <v>235</v>
      </c>
      <c r="F40" s="29">
        <v>174.99680000000001</v>
      </c>
      <c r="G40" s="29">
        <v>305.5</v>
      </c>
      <c r="H40" s="30"/>
      <c r="I40" s="31">
        <f t="shared" si="4"/>
        <v>238.5</v>
      </c>
      <c r="J40" s="32">
        <f t="shared" si="1"/>
        <v>53.33512415793389</v>
      </c>
      <c r="K40" s="32">
        <f t="shared" si="2"/>
        <v>0.22362735495989053</v>
      </c>
      <c r="L40" s="32">
        <f>IF(K40&lt;0.06,I40,IF(K40&gt;0.32,#REF!,MIN(E40:G40)))</f>
        <v>174.99680000000001</v>
      </c>
      <c r="M40" s="33">
        <f t="shared" si="3"/>
        <v>1749.9680000000001</v>
      </c>
    </row>
    <row r="41" spans="1:13" ht="36.75" customHeight="1" outlineLevel="1" x14ac:dyDescent="0.25">
      <c r="A41" s="25">
        <v>23</v>
      </c>
      <c r="B41" s="26" t="str">
        <f>'[1]Спец-я'!B32</f>
        <v>Кримпер для обжима наконечников</v>
      </c>
      <c r="C41" s="25" t="str">
        <f>'[1]Спец-я'!D32</f>
        <v>Штука</v>
      </c>
      <c r="D41" s="27">
        <v>4</v>
      </c>
      <c r="E41" s="28">
        <v>3500</v>
      </c>
      <c r="F41" s="29">
        <v>3799.9949999999999</v>
      </c>
      <c r="G41" s="29">
        <v>4550</v>
      </c>
      <c r="H41" s="30"/>
      <c r="I41" s="31">
        <f t="shared" si="4"/>
        <v>3950</v>
      </c>
      <c r="J41" s="32">
        <f t="shared" si="1"/>
        <v>441.58860946083797</v>
      </c>
      <c r="K41" s="32">
        <f t="shared" si="2"/>
        <v>0.11179458467362986</v>
      </c>
      <c r="L41" s="32">
        <f>IF(K41&lt;0.06,I41,IF(K41&gt;0.32,#REF!,MIN(E41:G41)))</f>
        <v>3500</v>
      </c>
      <c r="M41" s="33">
        <f t="shared" si="3"/>
        <v>14000</v>
      </c>
    </row>
    <row r="42" spans="1:13" s="40" customFormat="1" ht="26.25" customHeight="1" x14ac:dyDescent="0.25">
      <c r="A42" s="34"/>
      <c r="B42" s="35" t="s">
        <v>27</v>
      </c>
      <c r="C42" s="36" t="s">
        <v>28</v>
      </c>
      <c r="D42" s="36" t="s">
        <v>28</v>
      </c>
      <c r="E42" s="37">
        <f>SUMPRODUCT($D$19:$D$41,E19:E41)</f>
        <v>875954.04</v>
      </c>
      <c r="F42" s="38">
        <v>923269.4</v>
      </c>
      <c r="G42" s="38">
        <v>1146422.1399999999</v>
      </c>
      <c r="H42" s="31">
        <f t="shared" ref="H42" si="5">IFERROR(SUMPRODUCT($D$19:$D$41,H19:H41),"Х")</f>
        <v>0</v>
      </c>
      <c r="I42" s="31">
        <f t="shared" si="4"/>
        <v>981881.86</v>
      </c>
      <c r="J42" s="32">
        <f>_xlfn.STDEV.P($E42:$G42)</f>
        <v>117940.13631172142</v>
      </c>
      <c r="K42" s="36" t="s">
        <v>29</v>
      </c>
      <c r="L42" s="36" t="s">
        <v>29</v>
      </c>
      <c r="M42" s="39">
        <f>SUM(M19:M41)</f>
        <v>904546.57760000008</v>
      </c>
    </row>
    <row r="43" spans="1:13" ht="31.5" x14ac:dyDescent="0.25">
      <c r="A43" s="41"/>
      <c r="B43" s="42" t="s">
        <v>30</v>
      </c>
      <c r="C43" s="43"/>
      <c r="D43" s="43"/>
      <c r="E43" s="44">
        <v>46148</v>
      </c>
      <c r="F43" s="44">
        <v>46162</v>
      </c>
      <c r="G43" s="44">
        <v>46148</v>
      </c>
      <c r="H43" s="43"/>
      <c r="I43" s="43"/>
      <c r="J43" s="45"/>
      <c r="K43" s="46"/>
      <c r="L43" s="46"/>
      <c r="M43" s="45"/>
    </row>
    <row r="44" spans="1:13" x14ac:dyDescent="0.25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</row>
    <row r="45" spans="1:13" hidden="1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</row>
    <row r="46" spans="1:13" ht="18.75" x14ac:dyDescent="0.3">
      <c r="B46" s="49" t="str">
        <f>[1]ЗАКУПКА!C4</f>
        <v>Начальник 1 цеха</v>
      </c>
      <c r="C46" s="3"/>
      <c r="D46" s="3"/>
      <c r="E46" s="3"/>
      <c r="F46" s="3"/>
      <c r="G46" s="3"/>
      <c r="H46" s="50"/>
      <c r="I46" s="50"/>
      <c r="J46" s="51"/>
      <c r="K46" s="52" t="str">
        <f>[1]ЗАКУПКА!D4</f>
        <v>А.И. Забродин</v>
      </c>
      <c r="L46" s="21"/>
    </row>
    <row r="47" spans="1:13" ht="18.75" hidden="1" x14ac:dyDescent="0.3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3" ht="18.75" hidden="1" x14ac:dyDescent="0.3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3" ht="18.75" x14ac:dyDescent="0.3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3" ht="18.75" x14ac:dyDescent="0.3">
      <c r="B50" s="53" t="str">
        <f>[1]ЗАКУПКА!C77</f>
        <v>зам. нач. цеха №1 по КИПиА Д. А. Симонов</v>
      </c>
      <c r="C50" s="54"/>
      <c r="D50" s="54"/>
      <c r="E50" s="54"/>
      <c r="F50" s="3"/>
      <c r="G50" s="3"/>
      <c r="H50" s="3"/>
      <c r="I50" s="3"/>
      <c r="J50" s="3"/>
      <c r="K50" s="3"/>
    </row>
    <row r="51" spans="2:13" ht="18.75" x14ac:dyDescent="0.3">
      <c r="B51" s="55" t="str">
        <f>[1]ЗАКУПКА!C78</f>
        <v>60-76</v>
      </c>
      <c r="C51" s="54"/>
      <c r="D51" s="54"/>
      <c r="E51" s="54"/>
      <c r="F51" s="3"/>
      <c r="G51" s="3"/>
      <c r="H51" s="3"/>
      <c r="I51" s="3"/>
      <c r="J51" s="3"/>
      <c r="K51" s="3"/>
    </row>
    <row r="52" spans="2:13" ht="18.75" x14ac:dyDescent="0.3">
      <c r="B52" s="56"/>
      <c r="C52" s="57">
        <f>[1]ЗАКУПКА!B1</f>
        <v>46168</v>
      </c>
      <c r="D52" s="57"/>
      <c r="E52" s="54"/>
      <c r="F52" s="3"/>
      <c r="G52" s="3"/>
      <c r="H52" s="3"/>
      <c r="I52" s="3"/>
      <c r="J52" s="3"/>
      <c r="K52" s="3"/>
    </row>
    <row r="53" spans="2:13" ht="18.75" x14ac:dyDescent="0.3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3" ht="15.75" customHeight="1" x14ac:dyDescent="0.25"/>
    <row r="58" spans="2:13" x14ac:dyDescent="0.25">
      <c r="M58" s="58"/>
    </row>
  </sheetData>
  <mergeCells count="29">
    <mergeCell ref="I16:I17"/>
    <mergeCell ref="J16:J17"/>
    <mergeCell ref="K16:K17"/>
    <mergeCell ref="L16:L17"/>
    <mergeCell ref="M16:M17"/>
    <mergeCell ref="C52:D52"/>
    <mergeCell ref="A11:E11"/>
    <mergeCell ref="F11:M11"/>
    <mergeCell ref="A12:E12"/>
    <mergeCell ref="F12:M12"/>
    <mergeCell ref="A14:M14"/>
    <mergeCell ref="A16:A17"/>
    <mergeCell ref="B16:B17"/>
    <mergeCell ref="C16:C17"/>
    <mergeCell ref="D16:D17"/>
    <mergeCell ref="E16:H16"/>
    <mergeCell ref="A8:E8"/>
    <mergeCell ref="F8:M8"/>
    <mergeCell ref="A9:E9"/>
    <mergeCell ref="F9:M9"/>
    <mergeCell ref="A10:E10"/>
    <mergeCell ref="F10:M10"/>
    <mergeCell ref="A1:M1"/>
    <mergeCell ref="A3:M3"/>
    <mergeCell ref="A4:M4"/>
    <mergeCell ref="A6:E6"/>
    <mergeCell ref="F6:M6"/>
    <mergeCell ref="A7:E7"/>
    <mergeCell ref="F7:M7"/>
  </mergeCells>
  <pageMargins left="0.59" right="0.24" top="0.6" bottom="0.75" header="0.51180555555555496" footer="0.51180555555555496"/>
  <pageSetup paperSize="9" scale="53" firstPageNumber="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</vt:lpstr>
      <vt:lpstr>НМЦ!Область_печати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oz-07</dc:creator>
  <cp:lastModifiedBy>oz-07</cp:lastModifiedBy>
  <dcterms:created xsi:type="dcterms:W3CDTF">2026-05-26T07:28:57Z</dcterms:created>
  <dcterms:modified xsi:type="dcterms:W3CDTF">2026-05-26T07:29:46Z</dcterms:modified>
</cp:coreProperties>
</file>