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  Поставка аппарата емкостного ВЭЭ2-3-0,25-0,6К\"/>
    </mc:Choice>
  </mc:AlternateContent>
  <xr:revisionPtr revIDLastSave="0" documentId="8_{84B6936B-EC69-4EAD-8946-D45DF41CE53C}" xr6:coauthVersionLast="47" xr6:coauthVersionMax="47" xr10:uidLastSave="{00000000-0000-0000-0000-000000000000}"/>
  <bookViews>
    <workbookView xWindow="-120" yWindow="-120" windowWidth="29040" windowHeight="15840" xr2:uid="{E0C3A4F1-8754-471E-B12F-3FAB32381F8F}"/>
  </bookViews>
  <sheets>
    <sheet name="НМЦ" sheetId="1" r:id="rId1"/>
  </sheets>
  <externalReferences>
    <externalReference r:id="rId2"/>
  </externalReferences>
  <definedNames>
    <definedName name="ДаНет">#N/A</definedName>
    <definedName name="_xlnm.Print_Area" localSheetId="0">НМЦ!$A$3:$M$30</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7" i="1"/>
  <c r="K24" i="1"/>
  <c r="B24" i="1"/>
  <c r="H20" i="1"/>
  <c r="G20" i="1"/>
  <c r="F20" i="1"/>
  <c r="E20" i="1"/>
  <c r="J20" i="1" s="1"/>
  <c r="S19" i="1"/>
  <c r="R19" i="1"/>
  <c r="J19" i="1"/>
  <c r="K19" i="1" s="1"/>
  <c r="L19" i="1" s="1"/>
  <c r="M19" i="1" s="1"/>
  <c r="M20" i="1" s="1"/>
  <c r="I19" i="1"/>
  <c r="B19" i="1"/>
  <c r="S18" i="1"/>
  <c r="R18" i="1"/>
  <c r="F18" i="1"/>
  <c r="G18" i="1" s="1"/>
  <c r="H18" i="1" s="1"/>
  <c r="I18" i="1" s="1"/>
  <c r="J18" i="1" s="1"/>
  <c r="K18" i="1" s="1"/>
  <c r="L18" i="1" s="1"/>
  <c r="M18" i="1" s="1"/>
  <c r="E18" i="1"/>
  <c r="S17" i="1"/>
  <c r="R17" i="1"/>
  <c r="F11" i="1"/>
  <c r="F10" i="1"/>
  <c r="F9" i="1"/>
  <c r="F8" i="1"/>
  <c r="F7" i="1"/>
  <c r="F6" i="1"/>
  <c r="I20" i="1" l="1"/>
  <c r="C29" i="1" l="1"/>
  <c r="F12" i="1"/>
</calcChain>
</file>

<file path=xl/sharedStrings.xml><?xml version="1.0" encoding="utf-8"?>
<sst xmlns="http://schemas.openxmlformats.org/spreadsheetml/2006/main" count="53" uniqueCount="49">
  <si>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</si>
  <si>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</si>
  <si>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</si>
  <si>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</si>
  <si>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</si>
  <si>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</si>
  <si>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</si>
  <si>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</si>
  <si>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</si>
  <si>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</si>
  <si>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</si>
  <si>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</si>
  <si>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</si>
  <si>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</si>
  <si>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</si>
  <si>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</si>
  <si>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</si>
  <si>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</si>
  <si>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</si>
  <si>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</si>
  <si>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</si>
  <si>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</si>
  <si>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</si>
  <si>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</si>
  <si>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</si>
  <si>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</si>
  <si>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</si>
  <si>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</si>
  <si>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</si>
  <si>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</si>
  <si>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</si>
  <si>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</si>
  <si>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</si>
  <si>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</si>
  <si>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</si>
  <si>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</si>
  <si>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</si>
  <si>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</si>
  <si>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</si>
  <si>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Комплект</t>
  </si>
  <si>
    <t xml:space="preserve">№4 </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</si>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</sst>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8"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theme="1"/>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color theme="1"/>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pplyAlignment="0"/>
  </cellStyleXfs>
  <cellXfs count="82">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0" borderId="1" xfId="0" applyFont="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3" fillId="0" borderId="1" xfId="0" applyFont="1" applyBorder="1" applyAlignment="1">
      <alignment horizontal="left" vertical="center" wrapText="1" indent="3"/>
    </xf>
    <xf numFmtId="0" fontId="15" fillId="0" borderId="1" xfId="0" applyFont="1" applyBorder="1" applyAlignment="1">
      <alignment vertical="center" wrapText="1"/>
    </xf>
    <xf numFmtId="0" fontId="13"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165" fontId="15" fillId="0" borderId="1" xfId="1" applyFont="1" applyFill="1" applyBorder="1" applyAlignment="1">
      <alignment vertical="center" wrapText="1"/>
    </xf>
    <xf numFmtId="2" fontId="16" fillId="0" borderId="0" xfId="3" applyNumberFormat="1" applyFont="1" applyAlignment="1">
      <alignment horizontal="left" vertical="center"/>
    </xf>
    <xf numFmtId="0" fontId="13" fillId="0" borderId="0" xfId="0" applyFont="1" applyAlignment="1">
      <alignment horizontal="left" vertical="top" wrapText="1"/>
    </xf>
    <xf numFmtId="0" fontId="13"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1" fillId="0"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7"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A65FA17A-27E9-47D3-A5B1-A331A6DECB6F}"/>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6;&#1095;&#1077;&#1077;/&#1048;&#1089;&#1087;&#1088;&#1072;&#1074;&#1083;&#1077;&#1085;&#1085;&#1099;&#1081;%20&#1056;&#1055;&#1047;%202026%20&#1055;&#1086;&#1089;&#1090;&#1072;&#1074;&#1082;&#1072;%20&#1072;&#1087;&#1087;&#1072;&#1088;&#1072;&#1090;&#1072;%20&#1077;&#1089;&#1082;&#1086;&#1084;&#1090;&#1085;&#1086;&#1075;&#1086;%20&#1042;&#1069;&#1069;2-3-0,25-0,6&#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46175</v>
          </cell>
        </row>
        <row r="4">
          <cell r="C4" t="str">
            <v>Начальник 20 отдела</v>
          </cell>
          <cell r="D4" t="str">
            <v>С.В. Лайлов</v>
          </cell>
        </row>
        <row r="11">
          <cell r="C11" t="str">
            <v>Поставка аппарата емкостного ВЭЭ2-3-0,25-0,6К</v>
          </cell>
        </row>
        <row r="66">
          <cell r="C66" t="str">
            <v>Поставка аппарата емкостного ВЭЭ2-3-0,25-0,6К</v>
          </cell>
        </row>
        <row r="67">
          <cell r="C67" t="str">
            <v xml:space="preserve">метод сопоставимых рыночных цен (анализа рынка) </v>
          </cell>
        </row>
        <row r="68">
          <cell r="C68" t="str">
            <v>в течение 40 (сорока) рабочих дней с даты заключения договора</v>
          </cell>
        </row>
        <row r="69">
          <cell r="C69" t="str">
            <v xml:space="preserve"> По электронной почте исх. от 27.01.2026 № 20-518; от 30.03.2026 №20-2680</v>
          </cell>
        </row>
        <row r="70">
          <cell r="C70" t="str">
            <v xml:space="preserve"> КП № 1 вх. От 19.05.2026 № 2873;  КП № 2 вх. От 19.05.2026 № 2874;  КП № 3 вх. От 19.05.2026 № 2875 </v>
          </cell>
        </row>
        <row r="71">
          <cell r="C71" t="str">
            <v>850 000 (восемьсот пятьдесят тысяч) рублей 00 копеек, с учетом НДС 22% 153 278 (сто пятьдесят три тысячи двести семьдесят восемь) рублей 69 копеек.</v>
          </cell>
        </row>
        <row r="77">
          <cell r="C77" t="str">
            <v>Инженер I категории Вотева Л.Г.</v>
          </cell>
        </row>
        <row r="78">
          <cell r="C78" t="str">
            <v>59-80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41B52-FE0C-46B5-A82C-D9FF6ADFC2C0}">
  <sheetPr>
    <tabColor rgb="FF00B050"/>
    <pageSetUpPr fitToPage="1"/>
  </sheetPr>
  <dimension ref="A1:W37"/>
  <sheetViews>
    <sheetView tabSelected="1" view="pageBreakPreview" topLeftCell="D3" zoomScaleNormal="100" zoomScaleSheetLayoutView="100" workbookViewId="0">
      <selection activeCell="F10" sqref="F10:M10"/>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6" width="12.140625" style="2" customWidth="1"/>
    <col min="7" max="7" width="14.28515625" style="2" bestFit="1" customWidth="1"/>
    <col min="8" max="8" width="16.7109375" style="2" hidden="1" customWidth="1" outlineLevel="1"/>
    <col min="9" max="9" width="15.5703125" style="2" customWidth="1" collapsed="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22.5" customHeight="1" x14ac:dyDescent="0.25">
      <c r="A6" s="19" t="s">
        <v>7</v>
      </c>
      <c r="B6" s="19"/>
      <c r="C6" s="19"/>
      <c r="D6" s="19"/>
      <c r="E6" s="19"/>
      <c r="F6" s="19" t="str">
        <f>[1]ЗАКУПКА!C66</f>
        <v>Поставка аппарата емкостного ВЭЭ2-3-0,25-0,6К</v>
      </c>
      <c r="G6" s="19"/>
      <c r="H6" s="19"/>
      <c r="I6" s="19"/>
      <c r="J6" s="19"/>
      <c r="K6" s="19"/>
      <c r="L6" s="19"/>
      <c r="M6" s="19"/>
      <c r="N6" s="16"/>
      <c r="O6" s="17"/>
      <c r="P6" s="17"/>
      <c r="Q6" s="17"/>
      <c r="R6" s="17"/>
      <c r="S6" s="12">
        <v>2025</v>
      </c>
      <c r="T6" s="13">
        <v>109</v>
      </c>
      <c r="U6" s="18">
        <v>1.0900000000000001</v>
      </c>
      <c r="V6" s="14"/>
      <c r="W6" s="14"/>
    </row>
    <row r="7" spans="1:23" ht="2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22.5" customHeight="1" x14ac:dyDescent="0.25">
      <c r="A8" s="19" t="s">
        <v>9</v>
      </c>
      <c r="B8" s="19"/>
      <c r="C8" s="19"/>
      <c r="D8" s="19"/>
      <c r="E8" s="19"/>
      <c r="F8" s="19" t="str">
        <f>[1]ЗАКУПКА!C68</f>
        <v>в течение 40 (сорока) рабочих дней с даты заключения договора</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19" t="str">
        <f>[1]ЗАКУПКА!C69</f>
        <v xml:space="preserve"> По электронной почте исх. от 27.01.2026 № 20-518; от 30.03.2026 №20-2680</v>
      </c>
      <c r="G9" s="19"/>
      <c r="H9" s="19"/>
      <c r="I9" s="19"/>
      <c r="J9" s="19"/>
      <c r="K9" s="19"/>
      <c r="L9" s="19"/>
      <c r="M9" s="19"/>
      <c r="N9" s="23" t="s">
        <v>11</v>
      </c>
      <c r="O9" s="24"/>
      <c r="P9" s="24"/>
      <c r="Q9" s="24"/>
      <c r="R9" s="17"/>
      <c r="S9" s="21">
        <v>2028</v>
      </c>
      <c r="T9" s="22">
        <v>104</v>
      </c>
      <c r="U9" s="18">
        <v>1.04</v>
      </c>
      <c r="V9" s="14"/>
      <c r="W9" s="14"/>
    </row>
    <row r="10" spans="1:23" ht="40.5" customHeight="1" x14ac:dyDescent="0.25">
      <c r="A10" s="19" t="s">
        <v>12</v>
      </c>
      <c r="B10" s="19"/>
      <c r="C10" s="19"/>
      <c r="D10" s="19"/>
      <c r="E10" s="19"/>
      <c r="F10" s="19" t="str">
        <f>[1]ЗАКУПКА!C70</f>
        <v xml:space="preserve"> КП № 1 вх. От 19.05.2026 № 2873;  КП № 2 вх. От 19.05.2026 № 2874;  КП № 3 вх. От 19.05.2026 № 2875 </v>
      </c>
      <c r="G10" s="19"/>
      <c r="H10" s="19"/>
      <c r="I10" s="19"/>
      <c r="J10" s="19"/>
      <c r="K10" s="19"/>
      <c r="L10" s="19"/>
      <c r="M10" s="19"/>
      <c r="N10" s="23" t="s">
        <v>13</v>
      </c>
      <c r="O10" s="24"/>
      <c r="P10" s="24"/>
      <c r="Q10" s="24"/>
      <c r="R10" s="17"/>
    </row>
    <row r="11" spans="1:23" ht="93.75" customHeight="1" x14ac:dyDescent="0.25">
      <c r="A11" s="19" t="s">
        <v>14</v>
      </c>
      <c r="B11" s="19"/>
      <c r="C11" s="19"/>
      <c r="D11" s="19"/>
      <c r="E11" s="19"/>
      <c r="F11" s="25" t="str">
        <f>[1]ЗАКУПКА!C71</f>
        <v>850 000 (восемьсот пятьдесят тысяч) рублей 00 копеек, с учетом НДС 22% 153 278 (сто пятьдесят три тысячи двести семьдесят восемь) рублей 69 копеек.</v>
      </c>
      <c r="G11" s="25"/>
      <c r="H11" s="25"/>
      <c r="I11" s="25"/>
      <c r="J11" s="25"/>
      <c r="K11" s="25"/>
      <c r="L11" s="25"/>
      <c r="M11" s="25"/>
      <c r="N11" s="26" t="s">
        <v>15</v>
      </c>
      <c r="O11" s="17"/>
      <c r="P11" s="17"/>
      <c r="R11" s="17"/>
      <c r="S11" s="17"/>
      <c r="T11" s="17"/>
    </row>
    <row r="12" spans="1:23" ht="21" customHeight="1" x14ac:dyDescent="0.25">
      <c r="A12" s="19" t="s">
        <v>16</v>
      </c>
      <c r="B12" s="19"/>
      <c r="C12" s="19"/>
      <c r="D12" s="19"/>
      <c r="E12" s="19"/>
      <c r="F12" s="27">
        <f ca="1">[1]ЗАКУПКА!B1</f>
        <v>46175</v>
      </c>
      <c r="G12" s="27"/>
      <c r="H12" s="27"/>
      <c r="I12" s="27"/>
      <c r="J12" s="27"/>
      <c r="K12" s="27"/>
      <c r="L12" s="27"/>
      <c r="M12" s="27"/>
      <c r="N12" s="28" t="s">
        <v>17</v>
      </c>
      <c r="O12" s="17"/>
      <c r="P12" s="17"/>
      <c r="Q12" s="17"/>
      <c r="R12" s="17"/>
      <c r="S12" s="17"/>
      <c r="T12" s="17"/>
    </row>
    <row r="13" spans="1:23" ht="15" customHeight="1" x14ac:dyDescent="0.25">
      <c r="A13" s="29"/>
      <c r="B13" s="29"/>
      <c r="C13" s="29"/>
      <c r="D13" s="29"/>
      <c r="E13" s="29"/>
      <c r="F13" s="29"/>
      <c r="G13" s="29"/>
      <c r="H13" s="29"/>
      <c r="I13" s="29"/>
      <c r="J13" s="29"/>
      <c r="K13" s="29"/>
      <c r="L13" s="29"/>
      <c r="M13" s="29"/>
      <c r="N13" s="17"/>
      <c r="O13" s="17"/>
      <c r="P13" s="17"/>
      <c r="Q13" s="17"/>
      <c r="R13" s="17"/>
      <c r="S13" s="17"/>
      <c r="T13" s="17"/>
    </row>
    <row r="14" spans="1:23" ht="15" customHeight="1" x14ac:dyDescent="0.25">
      <c r="A14" s="30" t="s">
        <v>18</v>
      </c>
      <c r="B14" s="30"/>
      <c r="C14" s="30"/>
      <c r="D14" s="30"/>
      <c r="E14" s="30"/>
      <c r="F14" s="30"/>
      <c r="G14" s="30"/>
      <c r="H14" s="30"/>
      <c r="I14" s="30"/>
      <c r="J14" s="30"/>
      <c r="K14" s="30"/>
      <c r="L14" s="30"/>
      <c r="M14" s="30"/>
      <c r="N14" s="17"/>
      <c r="O14" s="17"/>
      <c r="P14" s="17"/>
      <c r="Q14" s="17"/>
      <c r="R14" s="17"/>
      <c r="S14" s="17"/>
      <c r="T14" s="17"/>
    </row>
    <row r="15" spans="1:23" x14ac:dyDescent="0.25">
      <c r="Q15" s="31" t="s">
        <v>19</v>
      </c>
    </row>
    <row r="16" spans="1:23" s="37" customFormat="1" ht="30.75" customHeight="1" x14ac:dyDescent="0.25">
      <c r="A16" s="32" t="s">
        <v>20</v>
      </c>
      <c r="B16" s="32" t="s">
        <v>21</v>
      </c>
      <c r="C16" s="32" t="s">
        <v>22</v>
      </c>
      <c r="D16" s="32" t="s">
        <v>23</v>
      </c>
      <c r="E16" s="33" t="s">
        <v>24</v>
      </c>
      <c r="F16" s="34"/>
      <c r="G16" s="34"/>
      <c r="H16" s="35"/>
      <c r="I16" s="32" t="s">
        <v>25</v>
      </c>
      <c r="J16" s="32" t="s">
        <v>26</v>
      </c>
      <c r="K16" s="32" t="s">
        <v>27</v>
      </c>
      <c r="L16" s="36" t="s">
        <v>28</v>
      </c>
      <c r="M16" s="32" t="s">
        <v>29</v>
      </c>
      <c r="O16" s="38"/>
      <c r="P16" s="39" t="s">
        <v>30</v>
      </c>
      <c r="Q16" s="39" t="s">
        <v>31</v>
      </c>
      <c r="R16" s="6" t="s">
        <v>32</v>
      </c>
      <c r="S16" s="6" t="s">
        <v>33</v>
      </c>
    </row>
    <row r="17" spans="1:20" s="37" customFormat="1" ht="128.25" customHeight="1" x14ac:dyDescent="0.25">
      <c r="A17" s="40"/>
      <c r="B17" s="40"/>
      <c r="C17" s="40"/>
      <c r="D17" s="40"/>
      <c r="E17" s="6" t="s">
        <v>34</v>
      </c>
      <c r="F17" s="6" t="s">
        <v>35</v>
      </c>
      <c r="G17" s="6" t="s">
        <v>36</v>
      </c>
      <c r="H17" s="41" t="s">
        <v>37</v>
      </c>
      <c r="I17" s="40"/>
      <c r="J17" s="40"/>
      <c r="K17" s="40"/>
      <c r="L17" s="42"/>
      <c r="M17" s="40"/>
      <c r="O17" s="17"/>
      <c r="P17" s="43" t="s">
        <v>34</v>
      </c>
      <c r="Q17" s="44">
        <v>2723123664</v>
      </c>
      <c r="R17" s="44" t="str">
        <f>VLOOKUP(Q17,[1]Контрагенты!$A$3:$H$3248,4,FALSE)</f>
        <v>ООО "ЦЛХ"</v>
      </c>
      <c r="S17" s="45">
        <f>VLOOKUP(Q17,[1]Контрагенты!$A$3:$H$3248,7,FALSE)</f>
        <v>0</v>
      </c>
      <c r="T17" s="46" t="s">
        <v>38</v>
      </c>
    </row>
    <row r="18" spans="1:20" ht="14.25" customHeight="1" x14ac:dyDescent="0.25">
      <c r="A18" s="47">
        <v>1</v>
      </c>
      <c r="B18" s="47">
        <v>2</v>
      </c>
      <c r="C18" s="47">
        <v>3</v>
      </c>
      <c r="D18" s="47">
        <v>4</v>
      </c>
      <c r="E18" s="47">
        <f>D18+1</f>
        <v>5</v>
      </c>
      <c r="F18" s="47">
        <f t="shared" ref="F18:M18" si="0">E18+1</f>
        <v>6</v>
      </c>
      <c r="G18" s="47">
        <f t="shared" si="0"/>
        <v>7</v>
      </c>
      <c r="H18" s="47">
        <f t="shared" si="0"/>
        <v>8</v>
      </c>
      <c r="I18" s="47">
        <f t="shared" si="0"/>
        <v>9</v>
      </c>
      <c r="J18" s="47">
        <f t="shared" si="0"/>
        <v>10</v>
      </c>
      <c r="K18" s="47">
        <f t="shared" si="0"/>
        <v>11</v>
      </c>
      <c r="L18" s="47">
        <f t="shared" si="0"/>
        <v>12</v>
      </c>
      <c r="M18" s="47">
        <f t="shared" si="0"/>
        <v>13</v>
      </c>
      <c r="O18" s="17"/>
      <c r="P18" s="6" t="s">
        <v>35</v>
      </c>
      <c r="Q18" s="48"/>
      <c r="R18" s="8" t="str">
        <f>VLOOKUP(Q18,[1]Контрагенты!$A$3:$H$3248,4,FALSE)</f>
        <v>ООО "Сантехресурс+"</v>
      </c>
      <c r="S18" s="49" t="str">
        <f>VLOOKUP(Q18,[1]Контрагенты!$A$3:$H$3248,7,FALSE)</f>
        <v/>
      </c>
    </row>
    <row r="19" spans="1:20" ht="50.25" customHeight="1" outlineLevel="1" x14ac:dyDescent="0.25">
      <c r="A19" s="47">
        <v>1</v>
      </c>
      <c r="B19" s="12" t="str">
        <f>[1]ЗАКУПКА!C11</f>
        <v>Поставка аппарата емкостного ВЭЭ2-3-0,25-0,6К</v>
      </c>
      <c r="C19" s="47" t="s">
        <v>39</v>
      </c>
      <c r="D19" s="50">
        <v>1</v>
      </c>
      <c r="E19" s="51">
        <v>850000</v>
      </c>
      <c r="F19" s="51">
        <v>910924</v>
      </c>
      <c r="G19" s="51">
        <v>1229150</v>
      </c>
      <c r="H19" s="52"/>
      <c r="I19" s="53">
        <f>IFERROR(ROUND(AVERAGEIF(E19:G19,"&gt;0"),2),"")</f>
        <v>996691.33</v>
      </c>
      <c r="J19" s="54">
        <f t="shared" ref="J19" si="1">IFERROR(_xlfn.STDEV.P($E19:$G19),"")</f>
        <v>166244.21238112988</v>
      </c>
      <c r="K19" s="54">
        <f t="shared" ref="K19" si="2">IFERROR(J19/I19,"")</f>
        <v>0.16679608558562448</v>
      </c>
      <c r="L19" s="54">
        <f>IF(K19&lt;0.06,I19,IF(K19&gt;0.32,$N$20,MIN(E19:G19)))</f>
        <v>850000</v>
      </c>
      <c r="M19" s="54">
        <f t="shared" ref="M19" si="3">IFERROR(L19*D19,"")</f>
        <v>850000</v>
      </c>
      <c r="O19" s="17"/>
      <c r="P19" s="6" t="s">
        <v>40</v>
      </c>
      <c r="Q19" s="48"/>
      <c r="R19" s="8" t="str">
        <f>VLOOKUP(Q19,[1]Контрагенты!$A$3:$H$3248,4,FALSE)</f>
        <v>ООО "Сантехресурс+"</v>
      </c>
      <c r="S19" s="49" t="str">
        <f>VLOOKUP(Q19,[1]Контрагенты!$A$3:$H$3248,7,FALSE)</f>
        <v/>
      </c>
    </row>
    <row r="20" spans="1:20" s="62" customFormat="1" ht="42" customHeight="1" x14ac:dyDescent="0.25">
      <c r="A20" s="55"/>
      <c r="B20" s="56" t="s">
        <v>41</v>
      </c>
      <c r="C20" s="57" t="s">
        <v>42</v>
      </c>
      <c r="D20" s="57" t="s">
        <v>42</v>
      </c>
      <c r="E20" s="58">
        <f>IFERROR(SUMPRODUCT($D$19:$D$19,E19:E19),"Х")</f>
        <v>850000</v>
      </c>
      <c r="F20" s="58">
        <f>IFERROR(SUMPRODUCT($D$19:$D$19,F19:F19),"Х")</f>
        <v>910924</v>
      </c>
      <c r="G20" s="58">
        <f>IFERROR(SUMPRODUCT($D$19:$D$19,G19:G19),"Х")</f>
        <v>1229150</v>
      </c>
      <c r="H20" s="53" t="str">
        <f>IFERROR(SUMPRODUCT($D$19:$D$19,H19:H19),"Х")</f>
        <v>Х</v>
      </c>
      <c r="I20" s="53">
        <f t="shared" ref="I20" si="4">IFERROR(ROUND(AVERAGEIF(E20:G20,"&gt;0"),2),"")</f>
        <v>996691.33</v>
      </c>
      <c r="J20" s="54">
        <f>_xlfn.STDEV.P($E20:$G20)</f>
        <v>166244.21238112988</v>
      </c>
      <c r="K20" s="57" t="s">
        <v>43</v>
      </c>
      <c r="L20" s="57" t="s">
        <v>43</v>
      </c>
      <c r="M20" s="59">
        <f>SUM(M19:M19)</f>
        <v>850000</v>
      </c>
      <c r="N20" s="60" t="s">
        <v>44</v>
      </c>
      <c r="O20" s="17"/>
      <c r="P20" s="61"/>
      <c r="Q20" s="17"/>
      <c r="R20" s="17"/>
      <c r="S20" s="61"/>
    </row>
    <row r="21" spans="1:20" ht="31.5" x14ac:dyDescent="0.25">
      <c r="A21" s="63"/>
      <c r="B21" s="64" t="s">
        <v>45</v>
      </c>
      <c r="C21" s="65"/>
      <c r="D21" s="65"/>
      <c r="E21" s="66">
        <v>46161</v>
      </c>
      <c r="F21" s="66">
        <v>46161</v>
      </c>
      <c r="G21" s="66">
        <v>46161</v>
      </c>
      <c r="H21" s="65"/>
      <c r="I21" s="65"/>
      <c r="J21" s="67"/>
      <c r="K21" s="68"/>
      <c r="L21" s="68"/>
      <c r="M21" s="67"/>
      <c r="O21" s="17"/>
      <c r="P21" s="17"/>
      <c r="R21" s="17"/>
      <c r="S21" s="17"/>
    </row>
    <row r="22" spans="1:20" x14ac:dyDescent="0.25">
      <c r="A22" s="69"/>
      <c r="B22" s="69"/>
      <c r="C22" s="69"/>
      <c r="D22" s="69"/>
      <c r="E22" s="69"/>
      <c r="F22" s="69"/>
      <c r="G22" s="69"/>
      <c r="H22" s="69"/>
      <c r="I22" s="69"/>
      <c r="J22" s="69"/>
      <c r="K22" s="69"/>
      <c r="L22" s="69"/>
      <c r="M22" s="69"/>
      <c r="O22" s="17"/>
      <c r="P22" s="17"/>
      <c r="Q22" s="17"/>
      <c r="R22" s="17"/>
      <c r="S22" s="17"/>
    </row>
    <row r="23" spans="1:20" x14ac:dyDescent="0.25">
      <c r="A23" s="70"/>
      <c r="B23" s="70"/>
      <c r="C23" s="70"/>
      <c r="D23" s="70"/>
      <c r="E23" s="70"/>
      <c r="F23" s="70"/>
      <c r="G23" s="70"/>
      <c r="H23" s="70"/>
      <c r="I23" s="70"/>
      <c r="J23" s="70"/>
      <c r="K23" s="70"/>
      <c r="L23" s="70"/>
      <c r="M23" s="70"/>
      <c r="O23" s="17"/>
    </row>
    <row r="24" spans="1:20" ht="18.75" x14ac:dyDescent="0.3">
      <c r="B24" s="71" t="str">
        <f>[1]ЗАКУПКА!C4</f>
        <v>Начальник 20 отдела</v>
      </c>
      <c r="C24" s="3"/>
      <c r="D24" s="3"/>
      <c r="E24" s="3"/>
      <c r="F24" s="3"/>
      <c r="G24" s="3"/>
      <c r="H24" s="72"/>
      <c r="I24" s="72"/>
      <c r="J24" s="73"/>
      <c r="K24" s="74" t="str">
        <f>[1]ЗАКУПКА!D4</f>
        <v>С.В. Лайлов</v>
      </c>
      <c r="L24" s="37"/>
    </row>
    <row r="25" spans="1:20" ht="18.75" x14ac:dyDescent="0.3">
      <c r="B25" s="3"/>
      <c r="C25" s="3"/>
      <c r="D25" s="3"/>
      <c r="E25" s="3"/>
      <c r="F25" s="3"/>
      <c r="G25" s="3"/>
      <c r="H25" s="3"/>
      <c r="I25" s="3"/>
      <c r="J25" s="3"/>
      <c r="K25" s="3"/>
    </row>
    <row r="26" spans="1:20" ht="18.75" x14ac:dyDescent="0.3">
      <c r="B26" s="3"/>
      <c r="C26" s="3"/>
      <c r="D26" s="3"/>
      <c r="E26" s="3"/>
      <c r="F26" s="3"/>
      <c r="G26" s="3"/>
      <c r="H26" s="3"/>
      <c r="I26" s="3"/>
      <c r="J26" s="3"/>
      <c r="K26" s="3"/>
    </row>
    <row r="27" spans="1:20" ht="18.75" x14ac:dyDescent="0.3">
      <c r="B27" s="75" t="str">
        <f>[1]ЗАКУПКА!C77</f>
        <v>Инженер I категории Вотева Л.Г.</v>
      </c>
      <c r="C27" s="3"/>
      <c r="D27" s="3"/>
      <c r="E27" s="3"/>
      <c r="F27" s="3"/>
      <c r="G27" s="3"/>
      <c r="H27" s="3"/>
      <c r="I27" s="3"/>
      <c r="J27" s="3"/>
      <c r="K27" s="3"/>
    </row>
    <row r="28" spans="1:20" ht="18.75" x14ac:dyDescent="0.3">
      <c r="B28" s="76" t="str">
        <f>[1]ЗАКУПКА!C78</f>
        <v>59-80</v>
      </c>
      <c r="C28" s="3"/>
      <c r="D28" s="3"/>
      <c r="E28" s="3"/>
      <c r="F28" s="3"/>
      <c r="G28" s="3"/>
      <c r="H28" s="3"/>
      <c r="I28" s="3"/>
      <c r="J28" s="3"/>
      <c r="K28" s="3"/>
    </row>
    <row r="29" spans="1:20" ht="18.75" x14ac:dyDescent="0.3">
      <c r="B29" s="77" t="s">
        <v>46</v>
      </c>
      <c r="C29" s="78">
        <f ca="1">[1]ЗАКУПКА!B1</f>
        <v>46175</v>
      </c>
      <c r="D29" s="78"/>
      <c r="E29" s="3"/>
      <c r="F29" s="3"/>
      <c r="G29" s="3"/>
      <c r="H29" s="3"/>
      <c r="I29" s="3"/>
      <c r="J29" s="3"/>
      <c r="K29" s="3"/>
    </row>
    <row r="30" spans="1:20" ht="18.75" x14ac:dyDescent="0.3">
      <c r="B30" s="3"/>
      <c r="C30" s="3"/>
      <c r="D30" s="3"/>
      <c r="E30" s="3"/>
      <c r="F30" s="3"/>
      <c r="G30" s="3"/>
      <c r="H30" s="3"/>
      <c r="I30" s="3"/>
      <c r="J30" s="3"/>
      <c r="K30" s="3"/>
    </row>
    <row r="31" spans="1:20" ht="15.75" customHeight="1" x14ac:dyDescent="0.25"/>
    <row r="33" spans="1:13" outlineLevel="1" x14ac:dyDescent="0.25">
      <c r="A33" s="79" t="s">
        <v>47</v>
      </c>
    </row>
    <row r="34" spans="1:13" ht="170.25" customHeight="1" outlineLevel="1" x14ac:dyDescent="0.25">
      <c r="A34" s="80" t="s">
        <v>48</v>
      </c>
      <c r="B34" s="80"/>
      <c r="C34" s="80"/>
      <c r="D34" s="80"/>
      <c r="E34" s="80"/>
      <c r="F34" s="80"/>
      <c r="G34" s="80"/>
      <c r="H34" s="80"/>
      <c r="I34" s="80"/>
      <c r="J34" s="80"/>
      <c r="K34" s="80"/>
      <c r="L34" s="80"/>
      <c r="M34" s="80"/>
    </row>
    <row r="37" spans="1:13" x14ac:dyDescent="0.25">
      <c r="M37" s="81"/>
    </row>
  </sheetData>
  <mergeCells count="32">
    <mergeCell ref="A34:M34"/>
    <mergeCell ref="I16:I17"/>
    <mergeCell ref="J16:J17"/>
    <mergeCell ref="K16:K17"/>
    <mergeCell ref="L16:L17"/>
    <mergeCell ref="M16:M17"/>
    <mergeCell ref="C29:D29"/>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8"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2026-06-02T03:05:58Z</dcterms:created>
  <dcterms:modified xsi:type="dcterms:W3CDTF">2026-06-02T03:06:24Z</dcterms:modified>
</cp:coreProperties>
</file>